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5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NO NAME/Streets of Clay Excel Data for Deposit/"/>
    </mc:Choice>
  </mc:AlternateContent>
  <xr:revisionPtr revIDLastSave="0" documentId="8_{D4EDE70D-5211-4540-9181-C69917B2151B}" xr6:coauthVersionLast="43" xr6:coauthVersionMax="43" xr10:uidLastSave="{00000000-0000-0000-0000-000000000000}"/>
  <bookViews>
    <workbookView xWindow="1840" yWindow="1540" windowWidth="21820" windowHeight="16620" activeTab="6" xr2:uid="{00000000-000D-0000-FFFF-FFFF00000000}"/>
  </bookViews>
  <sheets>
    <sheet name="Assessment Metrics" sheetId="8" r:id="rId1"/>
    <sheet name="Summary Calcs" sheetId="2" r:id="rId2"/>
    <sheet name="Space Calcs" sheetId="3" r:id="rId3"/>
    <sheet name="Ped InterA" sheetId="6" r:id="rId4"/>
    <sheet name="Peds &amp; Bikes" sheetId="5" r:id="rId5"/>
    <sheet name="Vehicle Calcs" sheetId="4" r:id="rId6"/>
    <sheet name="Visual Assessment" sheetId="7" r:id="rId7"/>
    <sheet name="Data List" sheetId="1" r:id="rId8"/>
    <sheet name="Charts" sheetId="9" r:id="rId9"/>
    <sheet name="Transit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115" i="7" l="1"/>
  <c r="W113" i="7"/>
  <c r="T102" i="10"/>
  <c r="S102" i="10"/>
  <c r="T87" i="10"/>
  <c r="S87" i="10"/>
  <c r="T66" i="10"/>
  <c r="S66" i="10"/>
  <c r="T22" i="10"/>
  <c r="S22" i="10"/>
  <c r="T3" i="10"/>
  <c r="S3" i="10"/>
  <c r="S50" i="10"/>
  <c r="T50" i="10"/>
  <c r="O50" i="10"/>
  <c r="N50" i="10"/>
  <c r="C125" i="10"/>
  <c r="C115" i="10"/>
  <c r="C102" i="10"/>
  <c r="B102" i="10"/>
  <c r="N102" i="10" s="1"/>
  <c r="C90" i="10"/>
  <c r="C80" i="10"/>
  <c r="C37" i="10"/>
  <c r="B37" i="10"/>
  <c r="C18" i="10"/>
  <c r="C67" i="10"/>
  <c r="C42" i="10"/>
  <c r="B67" i="10"/>
  <c r="N66" i="10" s="1"/>
  <c r="B80" i="10"/>
  <c r="B24" i="10"/>
  <c r="N22" i="10" s="1"/>
  <c r="DD93" i="2"/>
  <c r="DR138" i="2"/>
  <c r="DR54" i="2"/>
  <c r="DR14" i="2"/>
  <c r="I67" i="8"/>
  <c r="H67" i="8"/>
  <c r="G67" i="8"/>
  <c r="I66" i="8"/>
  <c r="H66" i="8"/>
  <c r="G66" i="8"/>
  <c r="E67" i="8"/>
  <c r="D67" i="8"/>
  <c r="E66" i="8"/>
  <c r="D66" i="8"/>
  <c r="C67" i="8"/>
  <c r="C66" i="8"/>
  <c r="D230" i="2"/>
  <c r="M182" i="4"/>
  <c r="L182" i="4"/>
  <c r="J182" i="4"/>
  <c r="I182" i="4"/>
  <c r="H182" i="4"/>
  <c r="G182" i="4"/>
  <c r="F182" i="4"/>
  <c r="E182" i="4"/>
  <c r="D182" i="4"/>
  <c r="C182" i="4"/>
  <c r="B182" i="4"/>
  <c r="K181" i="4"/>
  <c r="N181" i="4" s="1"/>
  <c r="O177" i="4"/>
  <c r="O178" i="4" s="1"/>
  <c r="DA93" i="2"/>
  <c r="CX93" i="2"/>
  <c r="CU93" i="2"/>
  <c r="DI138" i="2"/>
  <c r="DO138" i="2"/>
  <c r="DL138" i="2"/>
  <c r="DO54" i="2"/>
  <c r="DL54" i="2"/>
  <c r="DI54" i="2"/>
  <c r="DO14" i="2"/>
  <c r="DL14" i="2"/>
  <c r="DI14" i="2"/>
  <c r="C337" i="2"/>
  <c r="D313" i="2"/>
  <c r="B320" i="2"/>
  <c r="B302" i="2"/>
  <c r="C291" i="2"/>
  <c r="D294" i="2"/>
  <c r="D274" i="2"/>
  <c r="C284" i="2"/>
  <c r="B285" i="2"/>
  <c r="D256" i="2"/>
  <c r="C260" i="2"/>
  <c r="B264" i="2"/>
  <c r="D424" i="3"/>
  <c r="H416" i="3"/>
  <c r="C434" i="3"/>
  <c r="B434" i="3"/>
  <c r="D405" i="3"/>
  <c r="C402" i="3"/>
  <c r="B414" i="3"/>
  <c r="D386" i="3"/>
  <c r="D388" i="3"/>
  <c r="C392" i="3"/>
  <c r="B396" i="3"/>
  <c r="C384" i="3"/>
  <c r="D363" i="3"/>
  <c r="B366" i="3"/>
  <c r="C108" i="8"/>
  <c r="D108" i="8"/>
  <c r="E108" i="8"/>
  <c r="G108" i="8"/>
  <c r="H108" i="8"/>
  <c r="I108" i="8"/>
  <c r="B90" i="10"/>
  <c r="N87" i="10" s="1"/>
  <c r="C24" i="10"/>
  <c r="C8" i="10"/>
  <c r="C60" i="10"/>
  <c r="B18" i="10"/>
  <c r="B8" i="10"/>
  <c r="N3" i="10" s="1"/>
  <c r="B60" i="10"/>
  <c r="G11" i="9"/>
  <c r="F11" i="9"/>
  <c r="E11" i="9"/>
  <c r="C11" i="9"/>
  <c r="B11" i="9"/>
  <c r="A11" i="9"/>
  <c r="N146" i="7"/>
  <c r="N147" i="7"/>
  <c r="M146" i="7"/>
  <c r="M147" i="7" s="1"/>
  <c r="L146" i="7"/>
  <c r="L147" i="7" s="1"/>
  <c r="K146" i="7"/>
  <c r="K147" i="7" s="1"/>
  <c r="J146" i="7"/>
  <c r="J147" i="7" s="1"/>
  <c r="I146" i="7"/>
  <c r="I147" i="7" s="1"/>
  <c r="H146" i="7"/>
  <c r="H147" i="7" s="1"/>
  <c r="G146" i="7"/>
  <c r="G147" i="7" s="1"/>
  <c r="F146" i="7"/>
  <c r="F147" i="7" s="1"/>
  <c r="E146" i="7"/>
  <c r="E147" i="7" s="1"/>
  <c r="D146" i="7"/>
  <c r="D147" i="7" s="1"/>
  <c r="C146" i="7"/>
  <c r="C147" i="7" s="1"/>
  <c r="N81" i="7"/>
  <c r="N82" i="7" s="1"/>
  <c r="M81" i="7"/>
  <c r="M82" i="7" s="1"/>
  <c r="L81" i="7"/>
  <c r="L82" i="7" s="1"/>
  <c r="K81" i="7"/>
  <c r="K82" i="7" s="1"/>
  <c r="J81" i="7"/>
  <c r="J82" i="7" s="1"/>
  <c r="I81" i="7"/>
  <c r="I82" i="7" s="1"/>
  <c r="H81" i="7"/>
  <c r="H82" i="7" s="1"/>
  <c r="G81" i="7"/>
  <c r="G82" i="7" s="1"/>
  <c r="F81" i="7"/>
  <c r="F82" i="7" s="1"/>
  <c r="E81" i="7"/>
  <c r="E82" i="7" s="1"/>
  <c r="D81" i="7"/>
  <c r="D82" i="7" s="1"/>
  <c r="C81" i="7"/>
  <c r="C82" i="7" s="1"/>
  <c r="G52" i="8"/>
  <c r="I52" i="8"/>
  <c r="H52" i="8"/>
  <c r="E52" i="8"/>
  <c r="C52" i="8"/>
  <c r="D52" i="8"/>
  <c r="G48" i="8"/>
  <c r="I48" i="8"/>
  <c r="H48" i="8"/>
  <c r="E48" i="8"/>
  <c r="D48" i="8"/>
  <c r="C48" i="8"/>
  <c r="I55" i="8"/>
  <c r="I51" i="8"/>
  <c r="I47" i="8"/>
  <c r="H55" i="8"/>
  <c r="G55" i="8"/>
  <c r="E55" i="8"/>
  <c r="D55" i="8"/>
  <c r="C55" i="8"/>
  <c r="H51" i="8"/>
  <c r="G51" i="8"/>
  <c r="E51" i="8"/>
  <c r="D51" i="8"/>
  <c r="C51" i="8"/>
  <c r="H47" i="8"/>
  <c r="G47" i="8"/>
  <c r="E47" i="8"/>
  <c r="D47" i="8"/>
  <c r="C47" i="8"/>
  <c r="BH176" i="2"/>
  <c r="BH175" i="2"/>
  <c r="BH174" i="2"/>
  <c r="BH173" i="2"/>
  <c r="BH172" i="2"/>
  <c r="BH138" i="2"/>
  <c r="DJ138" i="2" s="1"/>
  <c r="BH93" i="2"/>
  <c r="DB93" i="2" s="1"/>
  <c r="BH54" i="2"/>
  <c r="DS54" i="2" s="1"/>
  <c r="BH14" i="2"/>
  <c r="DS14" i="2" s="1"/>
  <c r="L313" i="5"/>
  <c r="L312" i="5"/>
  <c r="L311" i="5"/>
  <c r="D316" i="5"/>
  <c r="J313" i="5"/>
  <c r="J312" i="5"/>
  <c r="J311" i="5"/>
  <c r="I15" i="8"/>
  <c r="I19" i="8" s="1"/>
  <c r="I20" i="8" s="1"/>
  <c r="H15" i="8"/>
  <c r="H19" i="8" s="1"/>
  <c r="H20" i="8" s="1"/>
  <c r="G15" i="8"/>
  <c r="G19" i="8" s="1"/>
  <c r="G20" i="8" s="1"/>
  <c r="E15" i="8"/>
  <c r="E19" i="8"/>
  <c r="E20" i="8" s="1"/>
  <c r="D15" i="8"/>
  <c r="D19" i="8" s="1"/>
  <c r="D20" i="8" s="1"/>
  <c r="C15" i="8"/>
  <c r="C19" i="8" s="1"/>
  <c r="C20" i="8" s="1"/>
  <c r="J134" i="3"/>
  <c r="M134" i="3" s="1"/>
  <c r="J133" i="3"/>
  <c r="M133" i="3" s="1"/>
  <c r="J132" i="3"/>
  <c r="M132" i="3" s="1"/>
  <c r="J131" i="3"/>
  <c r="M131" i="3" s="1"/>
  <c r="J130" i="3"/>
  <c r="M130" i="3" s="1"/>
  <c r="J129" i="3"/>
  <c r="M129" i="3" s="1"/>
  <c r="U190" i="3"/>
  <c r="U138" i="3"/>
  <c r="N45" i="7"/>
  <c r="N46" i="7" s="1"/>
  <c r="M45" i="7"/>
  <c r="L45" i="7"/>
  <c r="L46" i="7" s="1"/>
  <c r="K45" i="7"/>
  <c r="K46" i="7" s="1"/>
  <c r="J45" i="7"/>
  <c r="R8" i="7" s="1"/>
  <c r="R9" i="7" s="1"/>
  <c r="I45" i="7"/>
  <c r="H45" i="7"/>
  <c r="P8" i="7" s="1"/>
  <c r="P9" i="7" s="1"/>
  <c r="G45" i="7"/>
  <c r="G46" i="7" s="1"/>
  <c r="F45" i="7"/>
  <c r="F46" i="7" s="1"/>
  <c r="E45" i="7"/>
  <c r="D45" i="7"/>
  <c r="D46" i="7" s="1"/>
  <c r="C45" i="7"/>
  <c r="C46" i="7" s="1"/>
  <c r="P194" i="5"/>
  <c r="O148" i="5"/>
  <c r="P106" i="5"/>
  <c r="P102" i="5"/>
  <c r="P98" i="5"/>
  <c r="P94" i="5"/>
  <c r="P80" i="5"/>
  <c r="P113" i="5"/>
  <c r="P89" i="5"/>
  <c r="P73" i="5"/>
  <c r="D159" i="7"/>
  <c r="D160" i="7" s="1"/>
  <c r="N159" i="7"/>
  <c r="N160" i="7" s="1"/>
  <c r="M159" i="7"/>
  <c r="M160" i="7" s="1"/>
  <c r="L159" i="7"/>
  <c r="L160" i="7" s="1"/>
  <c r="K159" i="7"/>
  <c r="K160" i="7" s="1"/>
  <c r="J159" i="7"/>
  <c r="J160" i="7" s="1"/>
  <c r="I159" i="7"/>
  <c r="I160" i="7" s="1"/>
  <c r="H159" i="7"/>
  <c r="H160" i="7" s="1"/>
  <c r="G159" i="7"/>
  <c r="G160" i="7" s="1"/>
  <c r="F159" i="7"/>
  <c r="F160" i="7" s="1"/>
  <c r="E159" i="7"/>
  <c r="E160" i="7" s="1"/>
  <c r="C159" i="7"/>
  <c r="C160" i="7" s="1"/>
  <c r="N96" i="7"/>
  <c r="N97" i="7" s="1"/>
  <c r="M96" i="7"/>
  <c r="M97" i="7" s="1"/>
  <c r="L96" i="7"/>
  <c r="L97" i="7" s="1"/>
  <c r="K96" i="7"/>
  <c r="K97" i="7" s="1"/>
  <c r="J96" i="7"/>
  <c r="J97" i="7" s="1"/>
  <c r="I96" i="7"/>
  <c r="I97" i="7" s="1"/>
  <c r="H96" i="7"/>
  <c r="G96" i="7"/>
  <c r="G97" i="7"/>
  <c r="F96" i="7"/>
  <c r="F97" i="7"/>
  <c r="E96" i="7"/>
  <c r="E97" i="7"/>
  <c r="D96" i="7"/>
  <c r="Q12" i="7" s="1"/>
  <c r="Q13" i="7" s="1"/>
  <c r="D97" i="7"/>
  <c r="DF138" i="2"/>
  <c r="CR93" i="2"/>
  <c r="DF54" i="2"/>
  <c r="DF14" i="2"/>
  <c r="Q218" i="2"/>
  <c r="W218" i="2"/>
  <c r="Q217" i="2"/>
  <c r="Q216" i="2"/>
  <c r="Q215" i="2"/>
  <c r="Q214" i="2"/>
  <c r="C243" i="2"/>
  <c r="C96" i="7"/>
  <c r="C97" i="7" s="1"/>
  <c r="K218" i="2"/>
  <c r="K217" i="2"/>
  <c r="K216" i="2"/>
  <c r="L216" i="2" s="1"/>
  <c r="K215" i="2"/>
  <c r="L215" i="2" s="1"/>
  <c r="K214" i="2"/>
  <c r="F219" i="2"/>
  <c r="D219" i="2"/>
  <c r="F207" i="2"/>
  <c r="N126" i="7"/>
  <c r="N127" i="7"/>
  <c r="M126" i="7"/>
  <c r="M127" i="7"/>
  <c r="L126" i="7"/>
  <c r="L127" i="7"/>
  <c r="K126" i="7"/>
  <c r="K127" i="7"/>
  <c r="J126" i="7"/>
  <c r="J127" i="7"/>
  <c r="I126" i="7"/>
  <c r="I127" i="7" s="1"/>
  <c r="H126" i="7"/>
  <c r="H127" i="7" s="1"/>
  <c r="G126" i="7"/>
  <c r="G127" i="7" s="1"/>
  <c r="F126" i="7"/>
  <c r="F127" i="7" s="1"/>
  <c r="E126" i="7"/>
  <c r="E127" i="7" s="1"/>
  <c r="D126" i="7"/>
  <c r="D127" i="7" s="1"/>
  <c r="C126" i="7"/>
  <c r="C127" i="7" s="1"/>
  <c r="F166" i="2"/>
  <c r="F121" i="2"/>
  <c r="F83" i="2"/>
  <c r="F42" i="2"/>
  <c r="T78" i="3"/>
  <c r="R78" i="3"/>
  <c r="P78" i="3"/>
  <c r="O78" i="3"/>
  <c r="L78" i="3"/>
  <c r="H78" i="3"/>
  <c r="E58" i="6"/>
  <c r="D58" i="6"/>
  <c r="C246" i="2"/>
  <c r="D246" i="2" s="1"/>
  <c r="C239" i="2"/>
  <c r="CW220" i="2"/>
  <c r="CX220" i="2" s="1"/>
  <c r="CV220" i="2"/>
  <c r="CE220" i="2"/>
  <c r="CF220" i="2"/>
  <c r="S285" i="3"/>
  <c r="R285" i="3"/>
  <c r="Q285" i="3"/>
  <c r="P285" i="3"/>
  <c r="O285" i="3"/>
  <c r="L285" i="3"/>
  <c r="AQ217" i="2"/>
  <c r="AR217" i="2"/>
  <c r="AQ216" i="2"/>
  <c r="AI220" i="2"/>
  <c r="B285" i="3"/>
  <c r="C285" i="3"/>
  <c r="D285" i="3"/>
  <c r="E285" i="3"/>
  <c r="F285" i="3"/>
  <c r="G285" i="3"/>
  <c r="H285" i="3"/>
  <c r="I285" i="3"/>
  <c r="AA218" i="2"/>
  <c r="AB218" i="2"/>
  <c r="AA217" i="2"/>
  <c r="AB217" i="2"/>
  <c r="AA216" i="2"/>
  <c r="AB216" i="2"/>
  <c r="AA215" i="2"/>
  <c r="AB215" i="2"/>
  <c r="AA214" i="2"/>
  <c r="AB214" i="2"/>
  <c r="AR139" i="2"/>
  <c r="AR135" i="2"/>
  <c r="AR133" i="2"/>
  <c r="AR131" i="2"/>
  <c r="AO220" i="2"/>
  <c r="AP220" i="2"/>
  <c r="AM220" i="2"/>
  <c r="AN220" i="2"/>
  <c r="AP217" i="2"/>
  <c r="AP216" i="2"/>
  <c r="U218" i="2"/>
  <c r="V218" i="2"/>
  <c r="U217" i="2"/>
  <c r="V217" i="2"/>
  <c r="U216" i="2"/>
  <c r="V216" i="2"/>
  <c r="U215" i="2"/>
  <c r="V215" i="2"/>
  <c r="U214" i="2"/>
  <c r="V214" i="2"/>
  <c r="R219" i="2"/>
  <c r="R218" i="2"/>
  <c r="P218" i="2"/>
  <c r="P217" i="2"/>
  <c r="P216" i="2"/>
  <c r="P215" i="2"/>
  <c r="P214" i="2"/>
  <c r="DC220" i="2"/>
  <c r="DB220" i="2"/>
  <c r="CZ220" i="2"/>
  <c r="W285" i="3"/>
  <c r="U285" i="3"/>
  <c r="AK216" i="2"/>
  <c r="AL216" i="2"/>
  <c r="AJ216" i="2"/>
  <c r="N217" i="2"/>
  <c r="N216" i="2"/>
  <c r="AK217" i="2"/>
  <c r="AL217" i="2" s="1"/>
  <c r="AJ217" i="2"/>
  <c r="T219" i="2"/>
  <c r="T218" i="2"/>
  <c r="T217" i="2"/>
  <c r="T216" i="2"/>
  <c r="T215" i="2"/>
  <c r="T214" i="2"/>
  <c r="CB220" i="2"/>
  <c r="BZ220" i="2"/>
  <c r="AG220" i="2"/>
  <c r="AK214" i="2"/>
  <c r="AL214" i="2" s="1"/>
  <c r="N214" i="2"/>
  <c r="AJ214" i="2"/>
  <c r="AJ220" i="2"/>
  <c r="D218" i="2"/>
  <c r="L218" i="2"/>
  <c r="F218" i="2"/>
  <c r="F217" i="2"/>
  <c r="J218" i="2"/>
  <c r="J217" i="2"/>
  <c r="H218" i="2"/>
  <c r="H217" i="2"/>
  <c r="D217" i="2"/>
  <c r="L217" i="2"/>
  <c r="J216" i="2"/>
  <c r="H216" i="2"/>
  <c r="F216" i="2"/>
  <c r="D216" i="2"/>
  <c r="J215" i="2"/>
  <c r="J214" i="2"/>
  <c r="H215" i="2"/>
  <c r="H214" i="2"/>
  <c r="F215" i="2"/>
  <c r="D215" i="2"/>
  <c r="G220" i="2"/>
  <c r="H220" i="2" s="1"/>
  <c r="I220" i="2"/>
  <c r="J220" i="2" s="1"/>
  <c r="BI220" i="2"/>
  <c r="BG220" i="2" s="1"/>
  <c r="BK218" i="2"/>
  <c r="BL218" i="2" s="1"/>
  <c r="BK217" i="2"/>
  <c r="BL217" i="2" s="1"/>
  <c r="BK216" i="2"/>
  <c r="BL216" i="2" s="1"/>
  <c r="BK215" i="2"/>
  <c r="BL215" i="2" s="1"/>
  <c r="BK214" i="2"/>
  <c r="BJ218" i="2"/>
  <c r="BJ217" i="2"/>
  <c r="BJ216" i="2"/>
  <c r="BJ215" i="2"/>
  <c r="BJ214" i="2"/>
  <c r="N215" i="2"/>
  <c r="F214" i="2"/>
  <c r="D214" i="2"/>
  <c r="C230" i="2"/>
  <c r="C231" i="2"/>
  <c r="AA91" i="2"/>
  <c r="AB91" i="2"/>
  <c r="AA89" i="2"/>
  <c r="AB89" i="2"/>
  <c r="P92" i="2"/>
  <c r="CP93" i="2"/>
  <c r="CO93" i="2"/>
  <c r="U114" i="3"/>
  <c r="U115" i="3"/>
  <c r="U116" i="3"/>
  <c r="U117" i="3"/>
  <c r="CC91" i="2"/>
  <c r="CD91" i="2" s="1"/>
  <c r="CE91" i="2"/>
  <c r="CF91" i="2" s="1"/>
  <c r="CB91" i="2"/>
  <c r="BZ91" i="2"/>
  <c r="AH93" i="2"/>
  <c r="CB90" i="2"/>
  <c r="BZ90" i="2"/>
  <c r="BZ89" i="2"/>
  <c r="CB89" i="2"/>
  <c r="CI89" i="2"/>
  <c r="CI93" i="2"/>
  <c r="I93" i="2"/>
  <c r="J93" i="2"/>
  <c r="G93" i="2"/>
  <c r="H93" i="2"/>
  <c r="J91" i="2"/>
  <c r="H91" i="2"/>
  <c r="AX93" i="2"/>
  <c r="AW93" i="2"/>
  <c r="AV93" i="2"/>
  <c r="AU93" i="2"/>
  <c r="AO93" i="2"/>
  <c r="AP91" i="2"/>
  <c r="AQ91" i="2" s="1"/>
  <c r="AR91" i="2" s="1"/>
  <c r="AP90" i="2"/>
  <c r="AQ90" i="2"/>
  <c r="AN91" i="2"/>
  <c r="AN90" i="2"/>
  <c r="AK89" i="2"/>
  <c r="AK93" i="2"/>
  <c r="W91" i="2"/>
  <c r="X91" i="2"/>
  <c r="U91" i="2"/>
  <c r="V91" i="2"/>
  <c r="U90" i="2"/>
  <c r="V90" i="2"/>
  <c r="U89" i="2"/>
  <c r="V89" i="2"/>
  <c r="H90" i="2"/>
  <c r="H89" i="2"/>
  <c r="BJ91" i="2"/>
  <c r="BJ90" i="2"/>
  <c r="BJ93" i="2" s="1"/>
  <c r="BL93" i="2" s="1"/>
  <c r="BJ89" i="2"/>
  <c r="J90" i="2"/>
  <c r="J89" i="2"/>
  <c r="AI93" i="2"/>
  <c r="AJ89" i="2"/>
  <c r="AJ93" i="2"/>
  <c r="BK91" i="2"/>
  <c r="BL91" i="2"/>
  <c r="BK90" i="2"/>
  <c r="BL90" i="2"/>
  <c r="BK89" i="2"/>
  <c r="BL89" i="2"/>
  <c r="BI93" i="2"/>
  <c r="T91" i="2"/>
  <c r="N91" i="2"/>
  <c r="D91" i="2"/>
  <c r="F91" i="2" s="1"/>
  <c r="R91" i="2"/>
  <c r="P91" i="2"/>
  <c r="Q90" i="2"/>
  <c r="O90" i="2" s="1"/>
  <c r="P90" i="2" s="1"/>
  <c r="W89" i="2"/>
  <c r="D90" i="2"/>
  <c r="F90" i="2"/>
  <c r="BK93" i="2"/>
  <c r="BO93" i="2" s="1"/>
  <c r="R92" i="2"/>
  <c r="T92" i="2"/>
  <c r="P89" i="2"/>
  <c r="T90" i="2"/>
  <c r="T89" i="2"/>
  <c r="R89" i="2"/>
  <c r="N90" i="2"/>
  <c r="N89" i="2"/>
  <c r="D92" i="2"/>
  <c r="D89" i="2"/>
  <c r="F89" i="2"/>
  <c r="F92" i="2"/>
  <c r="DD177" i="2"/>
  <c r="BK172" i="2"/>
  <c r="BL172" i="2"/>
  <c r="BK173" i="2"/>
  <c r="BL173" i="2"/>
  <c r="BK174" i="2"/>
  <c r="BL174" i="2"/>
  <c r="BK175" i="2"/>
  <c r="BL175" i="2"/>
  <c r="BK176" i="2"/>
  <c r="BL176" i="2"/>
  <c r="DC177" i="2"/>
  <c r="BK177" i="2"/>
  <c r="DC136" i="2"/>
  <c r="BK131" i="2"/>
  <c r="BK132" i="2"/>
  <c r="BK133" i="2"/>
  <c r="BL133" i="2" s="1"/>
  <c r="BK134" i="2"/>
  <c r="BL134" i="2" s="1"/>
  <c r="BK135" i="2"/>
  <c r="BL135" i="2" s="1"/>
  <c r="DD136" i="2"/>
  <c r="D131" i="2"/>
  <c r="K131" i="2" s="1"/>
  <c r="C132" i="2"/>
  <c r="D132" i="2" s="1"/>
  <c r="C133" i="2"/>
  <c r="D133" i="2" s="1"/>
  <c r="K133" i="2" s="1"/>
  <c r="L133" i="2" s="1"/>
  <c r="C134" i="2"/>
  <c r="D134" i="2" s="1"/>
  <c r="C135" i="2"/>
  <c r="D135" i="2" s="1"/>
  <c r="K135" i="2" s="1"/>
  <c r="L135" i="2" s="1"/>
  <c r="CW131" i="2"/>
  <c r="CW132" i="2"/>
  <c r="CW133" i="2"/>
  <c r="CX133" i="2" s="1"/>
  <c r="CW135" i="2"/>
  <c r="CX135" i="2" s="1"/>
  <c r="BY137" i="2"/>
  <c r="CC138" i="2" s="1"/>
  <c r="CD138" i="2" s="1"/>
  <c r="CE131" i="2"/>
  <c r="CE132" i="2"/>
  <c r="CF132" i="2" s="1"/>
  <c r="CE133" i="2"/>
  <c r="CE134" i="2"/>
  <c r="CE135" i="2"/>
  <c r="CE136" i="2"/>
  <c r="CX131" i="2"/>
  <c r="CX134" i="2"/>
  <c r="CX136" i="2"/>
  <c r="DC54" i="2"/>
  <c r="BK54" i="2"/>
  <c r="BP54" i="2"/>
  <c r="DC14" i="2"/>
  <c r="BK14" i="2"/>
  <c r="BP14" i="2" s="1"/>
  <c r="DD54" i="2"/>
  <c r="DD14" i="2"/>
  <c r="CU54" i="2"/>
  <c r="CU10" i="2"/>
  <c r="CU12" i="2"/>
  <c r="CW12" i="2" s="1"/>
  <c r="CX12" i="2" s="1"/>
  <c r="CU11" i="2"/>
  <c r="CW11" i="2" s="1"/>
  <c r="CX11" i="2" s="1"/>
  <c r="CU9" i="2"/>
  <c r="CW9" i="2" s="1"/>
  <c r="CX9" i="2" s="1"/>
  <c r="CU8" i="2"/>
  <c r="CW8" i="2"/>
  <c r="CU7" i="2"/>
  <c r="CW7" i="2"/>
  <c r="C202" i="2"/>
  <c r="D202" i="2"/>
  <c r="C193" i="2"/>
  <c r="CW185" i="2"/>
  <c r="CX185" i="2" s="1"/>
  <c r="CW184" i="2"/>
  <c r="CX184" i="2" s="1"/>
  <c r="CW183" i="2"/>
  <c r="CX183" i="2" s="1"/>
  <c r="CW182" i="2"/>
  <c r="CX182" i="2" s="1"/>
  <c r="CW172" i="2"/>
  <c r="CX172" i="2" s="1"/>
  <c r="C186" i="2"/>
  <c r="C190" i="2" s="1"/>
  <c r="C198" i="2"/>
  <c r="D193" i="2"/>
  <c r="D189" i="2"/>
  <c r="C189" i="2"/>
  <c r="D188" i="2"/>
  <c r="C188" i="2"/>
  <c r="C184" i="2"/>
  <c r="D184" i="2" s="1"/>
  <c r="CV172" i="2"/>
  <c r="CU187" i="2"/>
  <c r="CV187" i="2" s="1"/>
  <c r="CV183" i="2"/>
  <c r="CV185" i="2"/>
  <c r="CE184" i="2"/>
  <c r="CF184" i="2" s="1"/>
  <c r="CE186" i="2"/>
  <c r="CF186" i="2" s="1"/>
  <c r="CE182" i="2"/>
  <c r="CF182" i="2" s="1"/>
  <c r="CE177" i="2"/>
  <c r="CF177" i="2" s="1"/>
  <c r="CE185" i="2"/>
  <c r="CF185" i="2" s="1"/>
  <c r="CE183" i="2"/>
  <c r="CF183" i="2" s="1"/>
  <c r="CE175" i="2"/>
  <c r="CF175" i="2" s="1"/>
  <c r="CE174" i="2"/>
  <c r="CF174" i="2" s="1"/>
  <c r="CE173" i="2"/>
  <c r="CE176" i="2"/>
  <c r="CF176" i="2" s="1"/>
  <c r="CA187" i="2"/>
  <c r="CB187" i="2" s="1"/>
  <c r="BY187" i="2"/>
  <c r="CC187" i="2" s="1"/>
  <c r="CD187" i="2" s="1"/>
  <c r="CB186" i="2"/>
  <c r="CB184" i="2"/>
  <c r="CB182" i="2"/>
  <c r="CB176" i="2"/>
  <c r="CB185" i="2"/>
  <c r="CB183" i="2"/>
  <c r="CB177" i="2"/>
  <c r="CB175" i="2"/>
  <c r="CB173" i="2"/>
  <c r="BZ186" i="2"/>
  <c r="BZ184" i="2"/>
  <c r="BZ182" i="2"/>
  <c r="BZ176" i="2"/>
  <c r="CB174" i="2"/>
  <c r="BZ174" i="2"/>
  <c r="CE172" i="2"/>
  <c r="CF172" i="2" s="1"/>
  <c r="CB172" i="2"/>
  <c r="BZ172" i="2"/>
  <c r="BV177" i="2"/>
  <c r="C205" i="2" s="1"/>
  <c r="D205" i="2" s="1"/>
  <c r="BW177" i="2"/>
  <c r="BI177" i="2"/>
  <c r="BQ177" i="2" s="1"/>
  <c r="BG177" i="2"/>
  <c r="DR187" i="2" s="1"/>
  <c r="BE177" i="2"/>
  <c r="BD177" i="2"/>
  <c r="BC177" i="2"/>
  <c r="BB177" i="2"/>
  <c r="BA177" i="2"/>
  <c r="AX177" i="2"/>
  <c r="AW177" i="2"/>
  <c r="AV177" i="2"/>
  <c r="AU177" i="2"/>
  <c r="AR177" i="2"/>
  <c r="AQ177" i="2"/>
  <c r="AP177" i="2"/>
  <c r="AO177" i="2"/>
  <c r="AI177" i="2"/>
  <c r="AD177" i="2"/>
  <c r="AC177" i="2"/>
  <c r="G177" i="2"/>
  <c r="I177" i="2"/>
  <c r="X105" i="3"/>
  <c r="AK174" i="2"/>
  <c r="AL174" i="2"/>
  <c r="AJ174" i="2"/>
  <c r="R175" i="2"/>
  <c r="W175" i="2"/>
  <c r="X175" i="2"/>
  <c r="AK175" i="2"/>
  <c r="P175" i="2"/>
  <c r="N174" i="2"/>
  <c r="N175" i="2"/>
  <c r="AJ175" i="2"/>
  <c r="W176" i="2"/>
  <c r="X176" i="2" s="1"/>
  <c r="R176" i="2"/>
  <c r="AJ176" i="2"/>
  <c r="M176" i="2"/>
  <c r="P176" i="2"/>
  <c r="BF176" i="2"/>
  <c r="BF177" i="2" s="1"/>
  <c r="U176" i="2"/>
  <c r="V176" i="2" s="1"/>
  <c r="U175" i="2"/>
  <c r="V175" i="2" s="1"/>
  <c r="T176" i="2"/>
  <c r="T175" i="2"/>
  <c r="F176" i="2"/>
  <c r="D176" i="2"/>
  <c r="K176" i="2"/>
  <c r="L176" i="2" s="1"/>
  <c r="J176" i="2"/>
  <c r="H176" i="2"/>
  <c r="J175" i="2"/>
  <c r="H175" i="2"/>
  <c r="F175" i="2"/>
  <c r="D175" i="2"/>
  <c r="K175" i="2" s="1"/>
  <c r="BJ175" i="2"/>
  <c r="BJ176" i="2"/>
  <c r="AH177" i="2"/>
  <c r="P174" i="2"/>
  <c r="P173" i="2"/>
  <c r="P172" i="2"/>
  <c r="AJ172" i="2"/>
  <c r="AK172" i="2"/>
  <c r="AL172" i="2" s="1"/>
  <c r="W174" i="2"/>
  <c r="AA174" i="2" s="1"/>
  <c r="W173" i="2"/>
  <c r="W172" i="2"/>
  <c r="U174" i="2"/>
  <c r="V174" i="2" s="1"/>
  <c r="U173" i="2"/>
  <c r="V173" i="2" s="1"/>
  <c r="U172" i="2"/>
  <c r="T174" i="2"/>
  <c r="T173" i="2"/>
  <c r="T172" i="2"/>
  <c r="R174" i="2"/>
  <c r="R173" i="2"/>
  <c r="R172" i="2"/>
  <c r="J174" i="2"/>
  <c r="H174" i="2"/>
  <c r="F174" i="2"/>
  <c r="D174" i="2"/>
  <c r="K174" i="2" s="1"/>
  <c r="L174" i="2" s="1"/>
  <c r="BJ174" i="2"/>
  <c r="BJ173" i="2"/>
  <c r="BJ172" i="2"/>
  <c r="F173" i="2"/>
  <c r="D173" i="2"/>
  <c r="K173" i="2" s="1"/>
  <c r="L173" i="2" s="1"/>
  <c r="J173" i="2"/>
  <c r="H173" i="2"/>
  <c r="J172" i="2"/>
  <c r="H172" i="2"/>
  <c r="F172" i="2"/>
  <c r="D172" i="2"/>
  <c r="K172" i="2"/>
  <c r="R121" i="3"/>
  <c r="S111" i="3"/>
  <c r="S112" i="3"/>
  <c r="S117" i="3"/>
  <c r="S118" i="3"/>
  <c r="S119" i="3"/>
  <c r="S120" i="3"/>
  <c r="T121" i="3"/>
  <c r="U111" i="3"/>
  <c r="U112" i="3"/>
  <c r="V170" i="3"/>
  <c r="M170" i="3"/>
  <c r="N170" i="3" s="1"/>
  <c r="M171" i="3"/>
  <c r="J171" i="3"/>
  <c r="K171" i="3" s="1"/>
  <c r="J170" i="3"/>
  <c r="K170" i="3" s="1"/>
  <c r="C172" i="3"/>
  <c r="E172" i="3" s="1"/>
  <c r="F172" i="3" s="1"/>
  <c r="C171" i="3"/>
  <c r="E171" i="3" s="1"/>
  <c r="F171" i="3" s="1"/>
  <c r="C170" i="3"/>
  <c r="E170" i="3" s="1"/>
  <c r="E173" i="3" s="1"/>
  <c r="CV11" i="2"/>
  <c r="CV7" i="2"/>
  <c r="BZ187" i="2"/>
  <c r="CV8" i="2"/>
  <c r="D198" i="2"/>
  <c r="S75" i="3"/>
  <c r="S73" i="3"/>
  <c r="S77" i="3"/>
  <c r="U77" i="3"/>
  <c r="U75" i="3"/>
  <c r="U73" i="3"/>
  <c r="R21" i="3"/>
  <c r="T21" i="3"/>
  <c r="U17" i="3"/>
  <c r="S17" i="3"/>
  <c r="S19" i="3"/>
  <c r="U19" i="3"/>
  <c r="S11" i="3"/>
  <c r="U11" i="3"/>
  <c r="U13" i="3"/>
  <c r="S13" i="3"/>
  <c r="U15" i="3"/>
  <c r="S15" i="3"/>
  <c r="T220" i="3"/>
  <c r="V220" i="3"/>
  <c r="W215" i="3"/>
  <c r="U215" i="3"/>
  <c r="W216" i="3"/>
  <c r="U216" i="3"/>
  <c r="W217" i="3"/>
  <c r="U217" i="3"/>
  <c r="W219" i="3"/>
  <c r="W218" i="3"/>
  <c r="U219" i="3"/>
  <c r="U218" i="3"/>
  <c r="T233" i="3"/>
  <c r="V233" i="3"/>
  <c r="W228" i="3"/>
  <c r="U228" i="3"/>
  <c r="W229" i="3"/>
  <c r="U229" i="3"/>
  <c r="W230" i="3"/>
  <c r="U230" i="3"/>
  <c r="W231" i="3"/>
  <c r="U231" i="3"/>
  <c r="W232" i="3"/>
  <c r="U232" i="3"/>
  <c r="C116" i="2"/>
  <c r="D116" i="2" s="1"/>
  <c r="C112" i="2"/>
  <c r="D112" i="2" s="1"/>
  <c r="C78" i="2"/>
  <c r="D78" i="2" s="1"/>
  <c r="C37" i="2"/>
  <c r="D37" i="2" s="1"/>
  <c r="C33" i="2"/>
  <c r="D33" i="2" s="1"/>
  <c r="C164" i="2"/>
  <c r="D164" i="2" s="1"/>
  <c r="U135" i="2"/>
  <c r="V135" i="2" s="1"/>
  <c r="U134" i="2"/>
  <c r="V134" i="2" s="1"/>
  <c r="U133" i="2"/>
  <c r="V133" i="2" s="1"/>
  <c r="U132" i="2"/>
  <c r="V132" i="2" s="1"/>
  <c r="U131" i="2"/>
  <c r="V131" i="2"/>
  <c r="C161" i="2"/>
  <c r="BI138" i="2"/>
  <c r="I138" i="2" s="1"/>
  <c r="J138" i="2" s="1"/>
  <c r="AU138" i="2"/>
  <c r="AS138" i="2"/>
  <c r="AT138" i="2" s="1"/>
  <c r="AO138" i="2"/>
  <c r="AQ134" i="2"/>
  <c r="AR134" i="2" s="1"/>
  <c r="AQ132" i="2"/>
  <c r="AR132" i="2" s="1"/>
  <c r="AP134" i="2"/>
  <c r="AP132" i="2"/>
  <c r="AN134" i="2"/>
  <c r="AN132" i="2"/>
  <c r="AI138" i="2"/>
  <c r="BR138" i="2" s="1"/>
  <c r="AH138" i="2"/>
  <c r="W135" i="2"/>
  <c r="X135" i="2" s="1"/>
  <c r="W134" i="2"/>
  <c r="X134" i="2" s="1"/>
  <c r="W133" i="2"/>
  <c r="X133" i="2" s="1"/>
  <c r="W132" i="2"/>
  <c r="X132" i="2" s="1"/>
  <c r="W131" i="2"/>
  <c r="BL132" i="2"/>
  <c r="BJ135" i="2"/>
  <c r="BJ134" i="2"/>
  <c r="BJ133" i="2"/>
  <c r="BJ132" i="2"/>
  <c r="BJ131" i="2"/>
  <c r="BJ138" i="2"/>
  <c r="AW135" i="2"/>
  <c r="AX135" i="2"/>
  <c r="AW134" i="2"/>
  <c r="AX134" i="2"/>
  <c r="AV135" i="2"/>
  <c r="AV134" i="2"/>
  <c r="T135" i="2"/>
  <c r="AV133" i="2"/>
  <c r="AV132" i="2"/>
  <c r="AV131" i="2"/>
  <c r="AK135" i="2"/>
  <c r="AL135" i="2"/>
  <c r="AJ135" i="2"/>
  <c r="N135" i="2"/>
  <c r="AK132" i="2"/>
  <c r="AL132" i="2"/>
  <c r="AJ132" i="2"/>
  <c r="AK131" i="2"/>
  <c r="AJ131" i="2"/>
  <c r="J135" i="2"/>
  <c r="J134" i="2"/>
  <c r="J133" i="2"/>
  <c r="J132" i="2"/>
  <c r="J131" i="2"/>
  <c r="H135" i="2"/>
  <c r="H134" i="2"/>
  <c r="H133" i="2"/>
  <c r="H132" i="2"/>
  <c r="H131" i="2"/>
  <c r="F131" i="2"/>
  <c r="E132" i="2"/>
  <c r="F132" i="2"/>
  <c r="E133" i="2"/>
  <c r="F133" i="2"/>
  <c r="E134" i="2"/>
  <c r="F134" i="2"/>
  <c r="E135" i="2"/>
  <c r="F135" i="2"/>
  <c r="C345" i="3"/>
  <c r="E345" i="3"/>
  <c r="C344" i="3"/>
  <c r="E344" i="3"/>
  <c r="F344" i="3" s="1"/>
  <c r="C343" i="3"/>
  <c r="E343" i="3" s="1"/>
  <c r="F343" i="3"/>
  <c r="C342" i="3"/>
  <c r="E342" i="3"/>
  <c r="M343" i="3"/>
  <c r="N343" i="3"/>
  <c r="M342" i="3"/>
  <c r="N342" i="3"/>
  <c r="J343" i="3"/>
  <c r="K343" i="3"/>
  <c r="J342" i="3"/>
  <c r="K342" i="3"/>
  <c r="S345" i="3"/>
  <c r="T345" i="3"/>
  <c r="S344" i="3"/>
  <c r="T344" i="3"/>
  <c r="S343" i="3"/>
  <c r="T343" i="3"/>
  <c r="S342" i="3"/>
  <c r="T342" i="3"/>
  <c r="V342" i="3"/>
  <c r="U330" i="3"/>
  <c r="V329" i="3"/>
  <c r="V328" i="3"/>
  <c r="V327" i="3"/>
  <c r="V318" i="3"/>
  <c r="V317" i="3"/>
  <c r="V316" i="3"/>
  <c r="V311" i="3"/>
  <c r="V312" i="3"/>
  <c r="S331" i="3"/>
  <c r="T331" i="3"/>
  <c r="S330" i="3"/>
  <c r="T330" i="3"/>
  <c r="S329" i="3"/>
  <c r="T329" i="3"/>
  <c r="S328" i="3"/>
  <c r="T328" i="3"/>
  <c r="S327" i="3"/>
  <c r="T327" i="3"/>
  <c r="M337" i="3"/>
  <c r="N337" i="3"/>
  <c r="M336" i="3"/>
  <c r="N336" i="3"/>
  <c r="M335" i="3"/>
  <c r="N335" i="3"/>
  <c r="M334" i="3"/>
  <c r="N334" i="3"/>
  <c r="M333" i="3"/>
  <c r="N333" i="3"/>
  <c r="M332" i="3"/>
  <c r="N332" i="3"/>
  <c r="M331" i="3"/>
  <c r="N331" i="3"/>
  <c r="M330" i="3"/>
  <c r="N330" i="3"/>
  <c r="M329" i="3"/>
  <c r="N329" i="3"/>
  <c r="M328" i="3"/>
  <c r="N328" i="3"/>
  <c r="M327" i="3"/>
  <c r="N327" i="3"/>
  <c r="J337" i="3"/>
  <c r="K337" i="3"/>
  <c r="J336" i="3"/>
  <c r="K336" i="3"/>
  <c r="J335" i="3"/>
  <c r="K335" i="3"/>
  <c r="J334" i="3"/>
  <c r="K334" i="3"/>
  <c r="J333" i="3"/>
  <c r="K333" i="3"/>
  <c r="J332" i="3"/>
  <c r="K332" i="3"/>
  <c r="J331" i="3"/>
  <c r="K331" i="3"/>
  <c r="J330" i="3"/>
  <c r="K330" i="3"/>
  <c r="J329" i="3"/>
  <c r="K329" i="3"/>
  <c r="J328" i="3"/>
  <c r="K328" i="3"/>
  <c r="J327" i="3"/>
  <c r="K327" i="3"/>
  <c r="C338" i="3"/>
  <c r="E338" i="3"/>
  <c r="F338" i="3" s="1"/>
  <c r="C337" i="3"/>
  <c r="E337" i="3" s="1"/>
  <c r="F337" i="3"/>
  <c r="C336" i="3"/>
  <c r="E336" i="3"/>
  <c r="F336" i="3" s="1"/>
  <c r="C335" i="3"/>
  <c r="E335" i="3" s="1"/>
  <c r="F335" i="3"/>
  <c r="C334" i="3"/>
  <c r="E334" i="3"/>
  <c r="F334" i="3" s="1"/>
  <c r="C333" i="3"/>
  <c r="E333" i="3" s="1"/>
  <c r="F333" i="3"/>
  <c r="C332" i="3"/>
  <c r="E332" i="3"/>
  <c r="F332" i="3" s="1"/>
  <c r="C331" i="3"/>
  <c r="E331" i="3" s="1"/>
  <c r="F331" i="3"/>
  <c r="C330" i="3"/>
  <c r="E330" i="3"/>
  <c r="F330" i="3" s="1"/>
  <c r="C329" i="3"/>
  <c r="E329" i="3" s="1"/>
  <c r="F329" i="3"/>
  <c r="C328" i="3"/>
  <c r="E328" i="3"/>
  <c r="F328" i="3" s="1"/>
  <c r="C327" i="3"/>
  <c r="E327" i="3" s="1"/>
  <c r="U319" i="3"/>
  <c r="S319" i="3"/>
  <c r="T319" i="3"/>
  <c r="S318" i="3"/>
  <c r="T318" i="3"/>
  <c r="S317" i="3"/>
  <c r="T317" i="3"/>
  <c r="S316" i="3"/>
  <c r="T316" i="3"/>
  <c r="C323" i="3"/>
  <c r="E323" i="3"/>
  <c r="F323" i="3" s="1"/>
  <c r="M322" i="3"/>
  <c r="N322" i="3" s="1"/>
  <c r="J322" i="3"/>
  <c r="K322" i="3" s="1"/>
  <c r="M321" i="3"/>
  <c r="N321" i="3" s="1"/>
  <c r="M320" i="3"/>
  <c r="N320" i="3" s="1"/>
  <c r="M319" i="3"/>
  <c r="N319" i="3" s="1"/>
  <c r="M318" i="3"/>
  <c r="N318" i="3" s="1"/>
  <c r="M317" i="3"/>
  <c r="N317" i="3" s="1"/>
  <c r="M316" i="3"/>
  <c r="N316" i="3" s="1"/>
  <c r="J321" i="3"/>
  <c r="K321" i="3" s="1"/>
  <c r="J320" i="3"/>
  <c r="K320" i="3" s="1"/>
  <c r="J319" i="3"/>
  <c r="K319" i="3" s="1"/>
  <c r="J318" i="3"/>
  <c r="K318" i="3" s="1"/>
  <c r="J317" i="3"/>
  <c r="K317" i="3" s="1"/>
  <c r="J316" i="3"/>
  <c r="K316" i="3" s="1"/>
  <c r="C322" i="3"/>
  <c r="E322" i="3" s="1"/>
  <c r="F322" i="3"/>
  <c r="C321" i="3"/>
  <c r="E321" i="3"/>
  <c r="F321" i="3" s="1"/>
  <c r="C320" i="3"/>
  <c r="E320" i="3" s="1"/>
  <c r="F320" i="3"/>
  <c r="C319" i="3"/>
  <c r="E319" i="3"/>
  <c r="F319" i="3" s="1"/>
  <c r="C318" i="3"/>
  <c r="E318" i="3" s="1"/>
  <c r="C317" i="3"/>
  <c r="E317" i="3" s="1"/>
  <c r="F317" i="3" s="1"/>
  <c r="C316" i="3"/>
  <c r="E316" i="3"/>
  <c r="F316" i="3" s="1"/>
  <c r="U312" i="3"/>
  <c r="S311" i="3"/>
  <c r="T311" i="3" s="1"/>
  <c r="S310" i="3"/>
  <c r="T310" i="3" s="1"/>
  <c r="S309" i="3"/>
  <c r="T309" i="3" s="1"/>
  <c r="M311" i="3"/>
  <c r="N311" i="3" s="1"/>
  <c r="M310" i="3"/>
  <c r="N310" i="3" s="1"/>
  <c r="M309" i="3"/>
  <c r="N309" i="3" s="1"/>
  <c r="J311" i="3"/>
  <c r="K311" i="3" s="1"/>
  <c r="J310" i="3"/>
  <c r="K310" i="3" s="1"/>
  <c r="J309" i="3"/>
  <c r="K309" i="3" s="1"/>
  <c r="C312" i="3"/>
  <c r="E312" i="3" s="1"/>
  <c r="F312" i="3" s="1"/>
  <c r="C311" i="3"/>
  <c r="E311" i="3" s="1"/>
  <c r="F311" i="3" s="1"/>
  <c r="C310" i="3"/>
  <c r="E310" i="3" s="1"/>
  <c r="F310" i="3" s="1"/>
  <c r="C309" i="3"/>
  <c r="E309" i="3" s="1"/>
  <c r="U297" i="3"/>
  <c r="V296" i="3"/>
  <c r="V295" i="3"/>
  <c r="V294" i="3"/>
  <c r="S300" i="3"/>
  <c r="T300" i="3" s="1"/>
  <c r="S299" i="3"/>
  <c r="T299" i="3" s="1"/>
  <c r="S298" i="3"/>
  <c r="T298" i="3" s="1"/>
  <c r="S297" i="3"/>
  <c r="T297" i="3" s="1"/>
  <c r="S296" i="3"/>
  <c r="T296" i="3" s="1"/>
  <c r="S295" i="3"/>
  <c r="T295" i="3" s="1"/>
  <c r="S294" i="3"/>
  <c r="T294" i="3" s="1"/>
  <c r="M301" i="3"/>
  <c r="N301" i="3" s="1"/>
  <c r="M300" i="3"/>
  <c r="N300" i="3" s="1"/>
  <c r="M299" i="3"/>
  <c r="N299" i="3" s="1"/>
  <c r="M298" i="3"/>
  <c r="N298" i="3" s="1"/>
  <c r="M297" i="3"/>
  <c r="N297" i="3" s="1"/>
  <c r="M296" i="3"/>
  <c r="N296" i="3" s="1"/>
  <c r="M295" i="3"/>
  <c r="N295" i="3" s="1"/>
  <c r="M294" i="3"/>
  <c r="N294" i="3" s="1"/>
  <c r="J301" i="3"/>
  <c r="K301" i="3" s="1"/>
  <c r="J300" i="3"/>
  <c r="K300" i="3" s="1"/>
  <c r="J299" i="3"/>
  <c r="K299" i="3" s="1"/>
  <c r="J298" i="3"/>
  <c r="K298" i="3" s="1"/>
  <c r="J297" i="3"/>
  <c r="K297" i="3" s="1"/>
  <c r="J296" i="3"/>
  <c r="K296" i="3" s="1"/>
  <c r="J295" i="3"/>
  <c r="K295" i="3" s="1"/>
  <c r="J294" i="3"/>
  <c r="K294" i="3" s="1"/>
  <c r="C305" i="3"/>
  <c r="E305" i="3" s="1"/>
  <c r="F305" i="3" s="1"/>
  <c r="C304" i="3"/>
  <c r="E304" i="3" s="1"/>
  <c r="F304" i="3" s="1"/>
  <c r="C303" i="3"/>
  <c r="E303" i="3" s="1"/>
  <c r="F303" i="3" s="1"/>
  <c r="C302" i="3"/>
  <c r="E302" i="3" s="1"/>
  <c r="F302" i="3" s="1"/>
  <c r="C301" i="3"/>
  <c r="E301" i="3" s="1"/>
  <c r="F301" i="3" s="1"/>
  <c r="C300" i="3"/>
  <c r="E300" i="3" s="1"/>
  <c r="F300" i="3" s="1"/>
  <c r="C299" i="3"/>
  <c r="E299" i="3" s="1"/>
  <c r="F299" i="3" s="1"/>
  <c r="C298" i="3"/>
  <c r="E298" i="3" s="1"/>
  <c r="F298" i="3" s="1"/>
  <c r="C297" i="3"/>
  <c r="E297" i="3" s="1"/>
  <c r="F297" i="3" s="1"/>
  <c r="C296" i="3"/>
  <c r="E296" i="3" s="1"/>
  <c r="F296" i="3" s="1"/>
  <c r="C295" i="3"/>
  <c r="E295" i="3" s="1"/>
  <c r="C294" i="3"/>
  <c r="E294" i="3" s="1"/>
  <c r="F294" i="3" s="1"/>
  <c r="C272" i="3"/>
  <c r="E272" i="3" s="1"/>
  <c r="F272" i="3" s="1"/>
  <c r="C271" i="3"/>
  <c r="E271" i="3" s="1"/>
  <c r="F271" i="3" s="1"/>
  <c r="C267" i="3"/>
  <c r="C266" i="3"/>
  <c r="E266" i="3" s="1"/>
  <c r="F266" i="3" s="1"/>
  <c r="C265" i="3"/>
  <c r="C264" i="3"/>
  <c r="E264" i="3" s="1"/>
  <c r="F264" i="3"/>
  <c r="C263" i="3"/>
  <c r="C262" i="3"/>
  <c r="E262" i="3" s="1"/>
  <c r="C261" i="3"/>
  <c r="C260" i="3"/>
  <c r="E260" i="3" s="1"/>
  <c r="C254" i="3"/>
  <c r="E254" i="3" s="1"/>
  <c r="F254" i="3" s="1"/>
  <c r="C253" i="3"/>
  <c r="E253" i="3" s="1"/>
  <c r="C250" i="3"/>
  <c r="E250" i="3" s="1"/>
  <c r="F250" i="3" s="1"/>
  <c r="C249" i="3"/>
  <c r="E249" i="3" s="1"/>
  <c r="F249" i="3" s="1"/>
  <c r="C245" i="3"/>
  <c r="E245" i="3" s="1"/>
  <c r="F245" i="3"/>
  <c r="C244" i="3"/>
  <c r="E244" i="3"/>
  <c r="F244" i="3" s="1"/>
  <c r="C243" i="3"/>
  <c r="E243" i="3" s="1"/>
  <c r="F243" i="3"/>
  <c r="C242" i="3"/>
  <c r="E242" i="3"/>
  <c r="S233" i="3"/>
  <c r="R233" i="3"/>
  <c r="Q233" i="3"/>
  <c r="P233" i="3"/>
  <c r="O233" i="3"/>
  <c r="M233" i="3"/>
  <c r="L233" i="3"/>
  <c r="H233" i="3"/>
  <c r="G233" i="3"/>
  <c r="F233" i="3"/>
  <c r="E233" i="3"/>
  <c r="D233" i="3"/>
  <c r="F234" i="3" s="1"/>
  <c r="G234" i="3" s="1"/>
  <c r="C233" i="3"/>
  <c r="B233" i="3"/>
  <c r="I232" i="3"/>
  <c r="I233" i="3"/>
  <c r="V271" i="3"/>
  <c r="Y272" i="3"/>
  <c r="Y261" i="3"/>
  <c r="M271" i="3"/>
  <c r="N271" i="3" s="1"/>
  <c r="J271" i="3"/>
  <c r="K271" i="3" s="1"/>
  <c r="U263" i="3"/>
  <c r="V262" i="3"/>
  <c r="V261" i="3"/>
  <c r="V260" i="3"/>
  <c r="V259" i="3"/>
  <c r="S263" i="3"/>
  <c r="T263" i="3" s="1"/>
  <c r="S262" i="3"/>
  <c r="T262" i="3" s="1"/>
  <c r="S261" i="3"/>
  <c r="T261" i="3" s="1"/>
  <c r="S260" i="3"/>
  <c r="T260" i="3" s="1"/>
  <c r="S259" i="3"/>
  <c r="T259" i="3"/>
  <c r="M261" i="3"/>
  <c r="K261" i="3"/>
  <c r="N261" i="3" s="1"/>
  <c r="M260" i="3"/>
  <c r="N260" i="3" s="1"/>
  <c r="J260" i="3"/>
  <c r="J268" i="3" s="1"/>
  <c r="E267" i="3"/>
  <c r="F267" i="3" s="1"/>
  <c r="E265" i="3"/>
  <c r="F265" i="3" s="1"/>
  <c r="E263" i="3"/>
  <c r="F263" i="3" s="1"/>
  <c r="F262" i="3"/>
  <c r="E261" i="3"/>
  <c r="F261" i="3" s="1"/>
  <c r="S257" i="3"/>
  <c r="T257" i="3" s="1"/>
  <c r="S256" i="3"/>
  <c r="T256" i="3" s="1"/>
  <c r="M253" i="3"/>
  <c r="N253" i="3" s="1"/>
  <c r="J253" i="3"/>
  <c r="K253" i="3" s="1"/>
  <c r="U255" i="3"/>
  <c r="V254" i="3"/>
  <c r="V253" i="3"/>
  <c r="S255" i="3"/>
  <c r="T255" i="3"/>
  <c r="S254" i="3"/>
  <c r="T254" i="3"/>
  <c r="S253" i="3"/>
  <c r="Y254" i="3"/>
  <c r="U244" i="3"/>
  <c r="M249" i="3"/>
  <c r="N249" i="3" s="1"/>
  <c r="J249" i="3"/>
  <c r="K249" i="3" s="1"/>
  <c r="Y250" i="3"/>
  <c r="V243" i="3"/>
  <c r="V242" i="3"/>
  <c r="M242" i="3"/>
  <c r="N242" i="3" s="1"/>
  <c r="J242" i="3"/>
  <c r="K242" i="3" s="1"/>
  <c r="Q121" i="3"/>
  <c r="P121" i="3"/>
  <c r="O121" i="3"/>
  <c r="M121" i="3"/>
  <c r="L121" i="3"/>
  <c r="I121" i="3"/>
  <c r="H121" i="3"/>
  <c r="G121" i="3"/>
  <c r="F121" i="3"/>
  <c r="E121" i="3"/>
  <c r="D121" i="3"/>
  <c r="B121" i="3"/>
  <c r="C121" i="3"/>
  <c r="E78" i="3"/>
  <c r="D78" i="3"/>
  <c r="C78" i="3"/>
  <c r="B78" i="3"/>
  <c r="M189" i="3"/>
  <c r="N189" i="3" s="1"/>
  <c r="M205" i="3"/>
  <c r="N205" i="3" s="1"/>
  <c r="M204" i="3"/>
  <c r="N204" i="3" s="1"/>
  <c r="M203" i="3"/>
  <c r="N203" i="3" s="1"/>
  <c r="M202" i="3"/>
  <c r="N202" i="3" s="1"/>
  <c r="J205" i="3"/>
  <c r="K205" i="3" s="1"/>
  <c r="S204" i="3"/>
  <c r="T204" i="3" s="1"/>
  <c r="S203" i="3"/>
  <c r="T203" i="3" s="1"/>
  <c r="S202" i="3"/>
  <c r="T202" i="3" s="1"/>
  <c r="S201" i="3"/>
  <c r="T201" i="3" s="1"/>
  <c r="V202" i="3"/>
  <c r="V201" i="3"/>
  <c r="M201" i="3"/>
  <c r="N201" i="3" s="1"/>
  <c r="J204" i="3"/>
  <c r="K204" i="3" s="1"/>
  <c r="J203" i="3"/>
  <c r="K203" i="3" s="1"/>
  <c r="J202" i="3"/>
  <c r="K202" i="3" s="1"/>
  <c r="J201" i="3"/>
  <c r="K201" i="3" s="1"/>
  <c r="C207" i="3"/>
  <c r="E207" i="3" s="1"/>
  <c r="F207" i="3" s="1"/>
  <c r="C206" i="3"/>
  <c r="E206" i="3" s="1"/>
  <c r="F206" i="3" s="1"/>
  <c r="C205" i="3"/>
  <c r="E205" i="3" s="1"/>
  <c r="F205" i="3" s="1"/>
  <c r="C204" i="3"/>
  <c r="E204" i="3"/>
  <c r="F204" i="3" s="1"/>
  <c r="C203" i="3"/>
  <c r="E203" i="3" s="1"/>
  <c r="C202" i="3"/>
  <c r="E202" i="3"/>
  <c r="C201" i="3"/>
  <c r="E201" i="3" s="1"/>
  <c r="F201" i="3" s="1"/>
  <c r="S197" i="3"/>
  <c r="T197" i="3" s="1"/>
  <c r="S196" i="3"/>
  <c r="T196" i="3" s="1"/>
  <c r="T198" i="3" s="1"/>
  <c r="M196" i="3"/>
  <c r="N196" i="3" s="1"/>
  <c r="N197" i="3" s="1"/>
  <c r="J196" i="3"/>
  <c r="K196" i="3" s="1"/>
  <c r="C198" i="3"/>
  <c r="E198" i="3"/>
  <c r="F198" i="3" s="1"/>
  <c r="C197" i="3"/>
  <c r="E197" i="3" s="1"/>
  <c r="C196" i="3"/>
  <c r="E196" i="3"/>
  <c r="V189" i="3"/>
  <c r="V188" i="3"/>
  <c r="V187" i="3"/>
  <c r="V186" i="3"/>
  <c r="V185" i="3"/>
  <c r="V190" i="3" s="1"/>
  <c r="S187" i="3"/>
  <c r="T187" i="3"/>
  <c r="S186" i="3"/>
  <c r="T186" i="3" s="1"/>
  <c r="S185" i="3"/>
  <c r="T185" i="3"/>
  <c r="M191" i="3"/>
  <c r="N191" i="3" s="1"/>
  <c r="M190" i="3"/>
  <c r="N190" i="3"/>
  <c r="M188" i="3"/>
  <c r="N188" i="3" s="1"/>
  <c r="M187" i="3"/>
  <c r="N187" i="3"/>
  <c r="M186" i="3"/>
  <c r="N186" i="3" s="1"/>
  <c r="M185" i="3"/>
  <c r="N185" i="3"/>
  <c r="J191" i="3"/>
  <c r="K191" i="3" s="1"/>
  <c r="J190" i="3"/>
  <c r="K190" i="3"/>
  <c r="J189" i="3"/>
  <c r="K189" i="3" s="1"/>
  <c r="J188" i="3"/>
  <c r="K188" i="3"/>
  <c r="J187" i="3"/>
  <c r="K187" i="3" s="1"/>
  <c r="J186" i="3"/>
  <c r="K186" i="3"/>
  <c r="J185" i="3"/>
  <c r="K185" i="3" s="1"/>
  <c r="C193" i="3"/>
  <c r="E193" i="3"/>
  <c r="F193" i="3" s="1"/>
  <c r="C192" i="3"/>
  <c r="E192" i="3" s="1"/>
  <c r="F192" i="3" s="1"/>
  <c r="C191" i="3"/>
  <c r="E191" i="3" s="1"/>
  <c r="F191" i="3" s="1"/>
  <c r="C190" i="3"/>
  <c r="E190" i="3"/>
  <c r="F190" i="3" s="1"/>
  <c r="C189" i="3"/>
  <c r="E189" i="3" s="1"/>
  <c r="F189" i="3" s="1"/>
  <c r="C188" i="3"/>
  <c r="E188" i="3" s="1"/>
  <c r="F188" i="3" s="1"/>
  <c r="C187" i="3"/>
  <c r="E187" i="3" s="1"/>
  <c r="F187" i="3" s="1"/>
  <c r="C186" i="3"/>
  <c r="E186" i="3" s="1"/>
  <c r="F186" i="3" s="1"/>
  <c r="C185" i="3"/>
  <c r="E185" i="3" s="1"/>
  <c r="U182" i="3"/>
  <c r="V181" i="3"/>
  <c r="V180" i="3"/>
  <c r="S181" i="3"/>
  <c r="T181" i="3" s="1"/>
  <c r="S180" i="3"/>
  <c r="T180" i="3" s="1"/>
  <c r="M181" i="3"/>
  <c r="N181" i="3" s="1"/>
  <c r="M180" i="3"/>
  <c r="N180" i="3" s="1"/>
  <c r="J181" i="3"/>
  <c r="K181" i="3" s="1"/>
  <c r="J180" i="3"/>
  <c r="K180" i="3" s="1"/>
  <c r="C182" i="3"/>
  <c r="E182" i="3" s="1"/>
  <c r="C181" i="3"/>
  <c r="E181" i="3" s="1"/>
  <c r="C180" i="3"/>
  <c r="E180" i="3"/>
  <c r="F180" i="3" s="1"/>
  <c r="M177" i="3"/>
  <c r="N177" i="3" s="1"/>
  <c r="M176" i="3"/>
  <c r="N176" i="3" s="1"/>
  <c r="M175" i="3"/>
  <c r="N175" i="3" s="1"/>
  <c r="J177" i="3"/>
  <c r="K177" i="3" s="1"/>
  <c r="J176" i="3"/>
  <c r="K176" i="3" s="1"/>
  <c r="J175" i="3"/>
  <c r="K175" i="3" s="1"/>
  <c r="C177" i="3"/>
  <c r="E177" i="3" s="1"/>
  <c r="C176" i="3"/>
  <c r="E176" i="3" s="1"/>
  <c r="C175" i="3"/>
  <c r="E175" i="3"/>
  <c r="F175" i="3" s="1"/>
  <c r="M166" i="3"/>
  <c r="N166" i="3" s="1"/>
  <c r="M165" i="3"/>
  <c r="N165" i="3" s="1"/>
  <c r="M164" i="3"/>
  <c r="N164" i="3" s="1"/>
  <c r="M163" i="3"/>
  <c r="N163" i="3" s="1"/>
  <c r="J166" i="3"/>
  <c r="K166" i="3" s="1"/>
  <c r="J165" i="3"/>
  <c r="K165" i="3" s="1"/>
  <c r="J164" i="3"/>
  <c r="K164" i="3" s="1"/>
  <c r="J163" i="3"/>
  <c r="K163" i="3" s="1"/>
  <c r="C167" i="3"/>
  <c r="E167" i="3" s="1"/>
  <c r="F167" i="3" s="1"/>
  <c r="C166" i="3"/>
  <c r="E166" i="3" s="1"/>
  <c r="F166" i="3" s="1"/>
  <c r="C165" i="3"/>
  <c r="E165" i="3" s="1"/>
  <c r="C164" i="3"/>
  <c r="E164" i="3" s="1"/>
  <c r="C163" i="3"/>
  <c r="E163" i="3"/>
  <c r="F163" i="3" s="1"/>
  <c r="V163" i="3"/>
  <c r="U158" i="3"/>
  <c r="V157" i="3"/>
  <c r="V156" i="3"/>
  <c r="V155" i="3"/>
  <c r="S155" i="3"/>
  <c r="S156" i="3" s="1"/>
  <c r="C152" i="3"/>
  <c r="E152" i="3"/>
  <c r="F152" i="3" s="1"/>
  <c r="C151" i="3"/>
  <c r="E151" i="3" s="1"/>
  <c r="F151" i="3" s="1"/>
  <c r="C150" i="3"/>
  <c r="E150" i="3"/>
  <c r="F150" i="3" s="1"/>
  <c r="C149" i="3"/>
  <c r="E149" i="3" s="1"/>
  <c r="F149" i="3" s="1"/>
  <c r="M159" i="3"/>
  <c r="N159" i="3" s="1"/>
  <c r="M158" i="3"/>
  <c r="N158" i="3"/>
  <c r="M157" i="3"/>
  <c r="N157" i="3" s="1"/>
  <c r="M156" i="3"/>
  <c r="N156" i="3"/>
  <c r="M155" i="3"/>
  <c r="N155" i="3" s="1"/>
  <c r="J159" i="3"/>
  <c r="K159" i="3"/>
  <c r="J158" i="3"/>
  <c r="K158" i="3" s="1"/>
  <c r="J157" i="3"/>
  <c r="K157" i="3"/>
  <c r="J156" i="3"/>
  <c r="K156" i="3" s="1"/>
  <c r="J155" i="3"/>
  <c r="K155" i="3"/>
  <c r="C160" i="3"/>
  <c r="E160" i="3" s="1"/>
  <c r="F160" i="3" s="1"/>
  <c r="C159" i="3"/>
  <c r="E159" i="3" s="1"/>
  <c r="F159" i="3" s="1"/>
  <c r="C158" i="3"/>
  <c r="E158" i="3" s="1"/>
  <c r="F158" i="3" s="1"/>
  <c r="C157" i="3"/>
  <c r="E157" i="3" s="1"/>
  <c r="F157" i="3" s="1"/>
  <c r="C156" i="3"/>
  <c r="E156" i="3"/>
  <c r="F156" i="3" s="1"/>
  <c r="C155" i="3"/>
  <c r="E155" i="3" s="1"/>
  <c r="G215" i="3"/>
  <c r="I215" i="3"/>
  <c r="G216" i="3"/>
  <c r="I216" i="3"/>
  <c r="I217" i="3"/>
  <c r="U147" i="3"/>
  <c r="V146" i="3"/>
  <c r="V145" i="3"/>
  <c r="V144" i="3"/>
  <c r="M150" i="3"/>
  <c r="N150" i="3"/>
  <c r="M149" i="3"/>
  <c r="N149" i="3" s="1"/>
  <c r="M148" i="3"/>
  <c r="N148" i="3"/>
  <c r="M147" i="3"/>
  <c r="N147" i="3" s="1"/>
  <c r="M146" i="3"/>
  <c r="N146" i="3"/>
  <c r="M145" i="3"/>
  <c r="N145" i="3" s="1"/>
  <c r="M144" i="3"/>
  <c r="N144" i="3"/>
  <c r="S147" i="3"/>
  <c r="T147" i="3" s="1"/>
  <c r="S146" i="3"/>
  <c r="T146" i="3"/>
  <c r="S145" i="3"/>
  <c r="T145" i="3" s="1"/>
  <c r="S144" i="3"/>
  <c r="T144" i="3"/>
  <c r="J150" i="3"/>
  <c r="K150" i="3" s="1"/>
  <c r="J149" i="3"/>
  <c r="K149" i="3"/>
  <c r="J148" i="3"/>
  <c r="K148" i="3" s="1"/>
  <c r="J147" i="3"/>
  <c r="K147" i="3"/>
  <c r="J146" i="3"/>
  <c r="K146" i="3" s="1"/>
  <c r="J145" i="3"/>
  <c r="K145" i="3"/>
  <c r="J144" i="3"/>
  <c r="K144" i="3" s="1"/>
  <c r="C148" i="3"/>
  <c r="E148" i="3"/>
  <c r="F148" i="3" s="1"/>
  <c r="C147" i="3"/>
  <c r="E147" i="3" s="1"/>
  <c r="F147" i="3" s="1"/>
  <c r="C146" i="3"/>
  <c r="E146" i="3"/>
  <c r="F146" i="3" s="1"/>
  <c r="C145" i="3"/>
  <c r="E145" i="3" s="1"/>
  <c r="F145" i="3" s="1"/>
  <c r="C144" i="3"/>
  <c r="E144" i="3" s="1"/>
  <c r="V137" i="3"/>
  <c r="V136" i="3"/>
  <c r="V135" i="3"/>
  <c r="V134" i="3"/>
  <c r="V133" i="3"/>
  <c r="V132" i="3"/>
  <c r="V138" i="3"/>
  <c r="V131" i="3"/>
  <c r="V130" i="3"/>
  <c r="V129" i="3"/>
  <c r="C141" i="3"/>
  <c r="E141" i="3" s="1"/>
  <c r="F141" i="3" s="1"/>
  <c r="C140" i="3"/>
  <c r="E140" i="3" s="1"/>
  <c r="F140" i="3" s="1"/>
  <c r="C139" i="3"/>
  <c r="E139" i="3" s="1"/>
  <c r="C138" i="3"/>
  <c r="C137" i="3"/>
  <c r="E137" i="3" s="1"/>
  <c r="F137" i="3" s="1"/>
  <c r="C136" i="3"/>
  <c r="C135" i="3"/>
  <c r="E135" i="3" s="1"/>
  <c r="F135" i="3" s="1"/>
  <c r="C134" i="3"/>
  <c r="C133" i="3"/>
  <c r="E133" i="3" s="1"/>
  <c r="F133" i="3" s="1"/>
  <c r="C132" i="3"/>
  <c r="C131" i="3"/>
  <c r="E131" i="3" s="1"/>
  <c r="F131" i="3" s="1"/>
  <c r="C130" i="3"/>
  <c r="C129" i="3"/>
  <c r="E129" i="3" s="1"/>
  <c r="E136" i="3"/>
  <c r="F136" i="3" s="1"/>
  <c r="E134" i="3"/>
  <c r="F134" i="3"/>
  <c r="E132" i="3"/>
  <c r="F132" i="3" s="1"/>
  <c r="E130" i="3"/>
  <c r="F130" i="3"/>
  <c r="N134" i="3"/>
  <c r="N133" i="3"/>
  <c r="N132" i="3"/>
  <c r="N131" i="3"/>
  <c r="N130" i="3"/>
  <c r="N129" i="3"/>
  <c r="J135" i="3"/>
  <c r="M135" i="3"/>
  <c r="N135" i="3" s="1"/>
  <c r="K134" i="3"/>
  <c r="K133" i="3"/>
  <c r="K132" i="3"/>
  <c r="K131" i="3"/>
  <c r="K130" i="3"/>
  <c r="K129" i="3"/>
  <c r="C215" i="3"/>
  <c r="K173" i="4"/>
  <c r="N173" i="4"/>
  <c r="E183" i="4"/>
  <c r="K179" i="4"/>
  <c r="N179" i="4" s="1"/>
  <c r="K178" i="4"/>
  <c r="N178" i="4" s="1"/>
  <c r="K177" i="4"/>
  <c r="N177" i="4" s="1"/>
  <c r="K176" i="4"/>
  <c r="N176" i="4" s="1"/>
  <c r="K175" i="4"/>
  <c r="N175" i="4" s="1"/>
  <c r="K174" i="4"/>
  <c r="N174" i="4" s="1"/>
  <c r="K172" i="4"/>
  <c r="N172" i="4" s="1"/>
  <c r="K171" i="4"/>
  <c r="N171" i="4" s="1"/>
  <c r="K170" i="4"/>
  <c r="K154" i="4"/>
  <c r="N154" i="4"/>
  <c r="B156" i="4"/>
  <c r="C156" i="4"/>
  <c r="D156" i="4"/>
  <c r="E156" i="4"/>
  <c r="F156" i="4"/>
  <c r="G156" i="4"/>
  <c r="H156" i="4"/>
  <c r="I156" i="4"/>
  <c r="J156" i="4"/>
  <c r="L156" i="4"/>
  <c r="M156" i="4"/>
  <c r="M143" i="4"/>
  <c r="M158" i="4" s="1"/>
  <c r="L143" i="4"/>
  <c r="J143" i="4"/>
  <c r="I143" i="4"/>
  <c r="H143" i="4"/>
  <c r="H158" i="4" s="1"/>
  <c r="G143" i="4"/>
  <c r="F143" i="4"/>
  <c r="F158" i="4" s="1"/>
  <c r="E143" i="4"/>
  <c r="D143" i="4"/>
  <c r="C143" i="4"/>
  <c r="C144" i="4"/>
  <c r="B143" i="4"/>
  <c r="K155" i="4"/>
  <c r="N155" i="4" s="1"/>
  <c r="K153" i="4"/>
  <c r="N153" i="4" s="1"/>
  <c r="K152" i="4"/>
  <c r="N152" i="4" s="1"/>
  <c r="K151" i="4"/>
  <c r="N151" i="4" s="1"/>
  <c r="K150" i="4"/>
  <c r="N150" i="4" s="1"/>
  <c r="K149" i="4"/>
  <c r="N149" i="4" s="1"/>
  <c r="K148" i="4"/>
  <c r="N148" i="4" s="1"/>
  <c r="K147" i="4"/>
  <c r="N147" i="4" s="1"/>
  <c r="K146" i="4"/>
  <c r="N146" i="4" s="1"/>
  <c r="K142" i="4"/>
  <c r="N142" i="4" s="1"/>
  <c r="K141" i="4"/>
  <c r="N141" i="4" s="1"/>
  <c r="K140" i="4"/>
  <c r="N140" i="4" s="1"/>
  <c r="K139" i="4"/>
  <c r="N139" i="4" s="1"/>
  <c r="K138" i="4"/>
  <c r="N138" i="4" s="1"/>
  <c r="K137" i="4"/>
  <c r="N137" i="4" s="1"/>
  <c r="K136" i="4"/>
  <c r="N136" i="4" s="1"/>
  <c r="K135" i="4"/>
  <c r="N135" i="4" s="1"/>
  <c r="K134" i="4"/>
  <c r="N134" i="4" s="1"/>
  <c r="K133" i="4"/>
  <c r="N133" i="4" s="1"/>
  <c r="K132" i="4"/>
  <c r="N132" i="4" s="1"/>
  <c r="K131" i="4"/>
  <c r="N131" i="4" s="1"/>
  <c r="K130" i="4"/>
  <c r="N130" i="4" s="1"/>
  <c r="K129" i="4"/>
  <c r="N129" i="4" s="1"/>
  <c r="K128" i="4"/>
  <c r="N128" i="4" s="1"/>
  <c r="M70" i="4"/>
  <c r="L70" i="4"/>
  <c r="J70" i="4"/>
  <c r="I70" i="4"/>
  <c r="H70" i="4"/>
  <c r="G70" i="4"/>
  <c r="F70" i="4"/>
  <c r="E70" i="4"/>
  <c r="D70" i="4"/>
  <c r="C70" i="4"/>
  <c r="C71" i="4"/>
  <c r="B70" i="4"/>
  <c r="K69" i="4"/>
  <c r="N69" i="4" s="1"/>
  <c r="K68" i="4"/>
  <c r="N68" i="4" s="1"/>
  <c r="K67" i="4"/>
  <c r="N67" i="4" s="1"/>
  <c r="K66" i="4"/>
  <c r="N66" i="4" s="1"/>
  <c r="K64" i="4"/>
  <c r="N64" i="4" s="1"/>
  <c r="K63" i="4"/>
  <c r="N63" i="4" s="1"/>
  <c r="K62" i="4"/>
  <c r="N62" i="4" s="1"/>
  <c r="K61" i="4"/>
  <c r="N61" i="4" s="1"/>
  <c r="K60" i="4"/>
  <c r="N60" i="4" s="1"/>
  <c r="K59" i="4"/>
  <c r="N59" i="4" s="1"/>
  <c r="K58" i="4"/>
  <c r="N58" i="4" s="1"/>
  <c r="K57" i="4"/>
  <c r="L70" i="6"/>
  <c r="J70" i="6"/>
  <c r="H70" i="6"/>
  <c r="G70" i="6"/>
  <c r="E71" i="6"/>
  <c r="Q69" i="6"/>
  <c r="P70" i="6"/>
  <c r="N70" i="6"/>
  <c r="E70" i="6"/>
  <c r="D70" i="6"/>
  <c r="F70" i="6" s="1"/>
  <c r="O69" i="6"/>
  <c r="K69" i="6"/>
  <c r="F69" i="6"/>
  <c r="Q68" i="6"/>
  <c r="O68" i="6"/>
  <c r="K68" i="6"/>
  <c r="F68" i="6"/>
  <c r="Q67" i="6"/>
  <c r="O67" i="6"/>
  <c r="K67" i="6"/>
  <c r="F67" i="6"/>
  <c r="Q55" i="6"/>
  <c r="O55" i="6"/>
  <c r="L57" i="6"/>
  <c r="J57" i="6"/>
  <c r="E57" i="6"/>
  <c r="D57" i="6"/>
  <c r="K57" i="6" s="1"/>
  <c r="K55" i="6"/>
  <c r="F55" i="6"/>
  <c r="Q53" i="6"/>
  <c r="O53" i="6"/>
  <c r="F56" i="6"/>
  <c r="K56" i="6"/>
  <c r="K54" i="6"/>
  <c r="F54" i="6"/>
  <c r="P71" i="6"/>
  <c r="N71" i="6"/>
  <c r="M71" i="6"/>
  <c r="L71" i="6"/>
  <c r="J71" i="6"/>
  <c r="I71" i="6"/>
  <c r="H71" i="6"/>
  <c r="G71" i="6"/>
  <c r="D71" i="6"/>
  <c r="P58" i="6"/>
  <c r="Q58" i="6" s="1"/>
  <c r="N58" i="6"/>
  <c r="O58" i="6" s="1"/>
  <c r="L58" i="6"/>
  <c r="J58" i="6"/>
  <c r="H58" i="6"/>
  <c r="P33" i="6"/>
  <c r="N33" i="6"/>
  <c r="M33" i="6"/>
  <c r="L33" i="6"/>
  <c r="J33" i="6"/>
  <c r="I33" i="6"/>
  <c r="H33" i="6"/>
  <c r="G33" i="6"/>
  <c r="E33" i="6"/>
  <c r="F33" i="6" s="1"/>
  <c r="D33" i="6"/>
  <c r="O33" i="6"/>
  <c r="Q32" i="6"/>
  <c r="O32" i="6"/>
  <c r="K32" i="6"/>
  <c r="F32" i="6"/>
  <c r="Q31" i="6"/>
  <c r="O31" i="6"/>
  <c r="K31" i="6"/>
  <c r="F31" i="6"/>
  <c r="O313" i="5"/>
  <c r="P313" i="5"/>
  <c r="V313" i="5"/>
  <c r="T313" i="5"/>
  <c r="R313" i="5"/>
  <c r="S313" i="5" s="1"/>
  <c r="R310" i="5"/>
  <c r="P310" i="5"/>
  <c r="O310" i="5"/>
  <c r="S310" i="5" s="1"/>
  <c r="V307" i="5"/>
  <c r="T307" i="5"/>
  <c r="R307" i="5"/>
  <c r="P307" i="5"/>
  <c r="O307" i="5"/>
  <c r="R303" i="5"/>
  <c r="P303" i="5"/>
  <c r="O303" i="5"/>
  <c r="Q303" i="5" s="1"/>
  <c r="V300" i="5"/>
  <c r="T300" i="5"/>
  <c r="R300" i="5"/>
  <c r="P300" i="5"/>
  <c r="O300" i="5"/>
  <c r="R298" i="5"/>
  <c r="P298" i="5"/>
  <c r="O298" i="5"/>
  <c r="V294" i="5"/>
  <c r="T294" i="5"/>
  <c r="R294" i="5"/>
  <c r="S294" i="5" s="1"/>
  <c r="P294" i="5"/>
  <c r="O294" i="5"/>
  <c r="V289" i="5"/>
  <c r="T289" i="5"/>
  <c r="R289" i="5"/>
  <c r="P289" i="5"/>
  <c r="O289" i="5"/>
  <c r="Q289" i="5" s="1"/>
  <c r="R287" i="5"/>
  <c r="S287" i="5" s="1"/>
  <c r="P287" i="5"/>
  <c r="O287" i="5"/>
  <c r="V284" i="5"/>
  <c r="T284" i="5"/>
  <c r="R284" i="5"/>
  <c r="P284" i="5"/>
  <c r="O284" i="5"/>
  <c r="R282" i="5"/>
  <c r="P282" i="5"/>
  <c r="Q282" i="5" s="1"/>
  <c r="O282" i="5"/>
  <c r="V279" i="5"/>
  <c r="T279" i="5"/>
  <c r="R279" i="5"/>
  <c r="P279" i="5"/>
  <c r="O279" i="5"/>
  <c r="Q279" i="5" s="1"/>
  <c r="R277" i="5"/>
  <c r="P277" i="5"/>
  <c r="O277" i="5"/>
  <c r="V274" i="5"/>
  <c r="T274" i="5"/>
  <c r="R274" i="5"/>
  <c r="P274" i="5"/>
  <c r="O274" i="5"/>
  <c r="K314" i="5"/>
  <c r="L314" i="5" s="1"/>
  <c r="I314" i="5"/>
  <c r="J314" i="5" s="1"/>
  <c r="G314" i="5"/>
  <c r="E314" i="5"/>
  <c r="D314" i="5"/>
  <c r="H312" i="5"/>
  <c r="F312" i="5"/>
  <c r="H313" i="5"/>
  <c r="F313" i="5"/>
  <c r="H311" i="5"/>
  <c r="F311" i="5"/>
  <c r="H310" i="5"/>
  <c r="F310" i="5"/>
  <c r="H309" i="5"/>
  <c r="F309" i="5"/>
  <c r="H308" i="5"/>
  <c r="F308" i="5"/>
  <c r="L307" i="5"/>
  <c r="J307" i="5"/>
  <c r="H307" i="5"/>
  <c r="F307" i="5"/>
  <c r="L306" i="5"/>
  <c r="J306" i="5"/>
  <c r="H306" i="5"/>
  <c r="F306" i="5"/>
  <c r="L305" i="5"/>
  <c r="L304" i="5"/>
  <c r="J305" i="5"/>
  <c r="J304" i="5"/>
  <c r="H305" i="5"/>
  <c r="F305" i="5"/>
  <c r="H304" i="5"/>
  <c r="F304" i="5"/>
  <c r="H303" i="5"/>
  <c r="F303" i="5"/>
  <c r="H298" i="5"/>
  <c r="F298" i="5"/>
  <c r="H297" i="5"/>
  <c r="F297" i="5"/>
  <c r="H302" i="5"/>
  <c r="F302" i="5"/>
  <c r="H301" i="5"/>
  <c r="F301" i="5"/>
  <c r="L300" i="5"/>
  <c r="L299" i="5"/>
  <c r="J300" i="5"/>
  <c r="J299" i="5"/>
  <c r="H300" i="5"/>
  <c r="F300" i="5"/>
  <c r="H299" i="5"/>
  <c r="F299" i="5"/>
  <c r="H296" i="5"/>
  <c r="F296" i="5"/>
  <c r="H295" i="5"/>
  <c r="F295" i="5"/>
  <c r="L294" i="5"/>
  <c r="J294" i="5"/>
  <c r="H294" i="5"/>
  <c r="F294" i="5"/>
  <c r="L293" i="5"/>
  <c r="J293" i="5"/>
  <c r="H293" i="5"/>
  <c r="F293" i="5"/>
  <c r="L292" i="5"/>
  <c r="L291" i="5"/>
  <c r="J292" i="5"/>
  <c r="J291" i="5"/>
  <c r="H292" i="5"/>
  <c r="H291" i="5"/>
  <c r="F292" i="5"/>
  <c r="F291" i="5"/>
  <c r="L289" i="5"/>
  <c r="J289" i="5"/>
  <c r="H289" i="5"/>
  <c r="F289" i="5"/>
  <c r="L288" i="5"/>
  <c r="J288" i="5"/>
  <c r="H288" i="5"/>
  <c r="F288" i="5"/>
  <c r="H287" i="5"/>
  <c r="F287" i="5"/>
  <c r="H286" i="5"/>
  <c r="F286" i="5"/>
  <c r="H285" i="5"/>
  <c r="F285" i="5"/>
  <c r="L284" i="5"/>
  <c r="J284" i="5"/>
  <c r="H284" i="5"/>
  <c r="F284" i="5"/>
  <c r="L283" i="5"/>
  <c r="J283" i="5"/>
  <c r="H283" i="5"/>
  <c r="F283" i="5"/>
  <c r="H282" i="5"/>
  <c r="H281" i="5"/>
  <c r="H280" i="5"/>
  <c r="F282" i="5"/>
  <c r="F281" i="5"/>
  <c r="F280" i="5"/>
  <c r="L279" i="5"/>
  <c r="L278" i="5"/>
  <c r="J279" i="5"/>
  <c r="J278" i="5"/>
  <c r="H279" i="5"/>
  <c r="F279" i="5"/>
  <c r="H278" i="5"/>
  <c r="F278" i="5"/>
  <c r="H277" i="5"/>
  <c r="H276" i="5"/>
  <c r="H275" i="5"/>
  <c r="F277" i="5"/>
  <c r="F276" i="5"/>
  <c r="F275" i="5"/>
  <c r="L274" i="5"/>
  <c r="H274" i="5"/>
  <c r="J274" i="5"/>
  <c r="F274" i="5"/>
  <c r="L273" i="5"/>
  <c r="J273" i="5"/>
  <c r="H273" i="5"/>
  <c r="F273" i="5"/>
  <c r="V262" i="5"/>
  <c r="T262" i="5"/>
  <c r="R262" i="5"/>
  <c r="P262" i="5"/>
  <c r="O262" i="5"/>
  <c r="V260" i="5"/>
  <c r="T260" i="5"/>
  <c r="R260" i="5"/>
  <c r="P260" i="5"/>
  <c r="O260" i="5"/>
  <c r="V258" i="5"/>
  <c r="T258" i="5"/>
  <c r="R258" i="5"/>
  <c r="P258" i="5"/>
  <c r="O258" i="5"/>
  <c r="V256" i="5"/>
  <c r="T256" i="5"/>
  <c r="R256" i="5"/>
  <c r="P256" i="5"/>
  <c r="O256" i="5"/>
  <c r="V254" i="5"/>
  <c r="T254" i="5"/>
  <c r="R254" i="5"/>
  <c r="P254" i="5"/>
  <c r="O254" i="5"/>
  <c r="V252" i="5"/>
  <c r="T252" i="5"/>
  <c r="R252" i="5"/>
  <c r="P252" i="5"/>
  <c r="O252" i="5"/>
  <c r="V250" i="5"/>
  <c r="T250" i="5"/>
  <c r="R250" i="5"/>
  <c r="P250" i="5"/>
  <c r="O250" i="5"/>
  <c r="V248" i="5"/>
  <c r="T248" i="5"/>
  <c r="R248" i="5"/>
  <c r="P248" i="5"/>
  <c r="O248" i="5"/>
  <c r="V245" i="5"/>
  <c r="T245" i="5"/>
  <c r="R245" i="5"/>
  <c r="P245" i="5"/>
  <c r="O245" i="5"/>
  <c r="V243" i="5"/>
  <c r="T243" i="5"/>
  <c r="R243" i="5"/>
  <c r="P243" i="5"/>
  <c r="O243" i="5"/>
  <c r="V241" i="5"/>
  <c r="T241" i="5"/>
  <c r="R241" i="5"/>
  <c r="P241" i="5"/>
  <c r="O241" i="5"/>
  <c r="O238" i="5"/>
  <c r="V238" i="5"/>
  <c r="T238" i="5"/>
  <c r="U238" i="5"/>
  <c r="R238" i="5"/>
  <c r="P238" i="5"/>
  <c r="Q238" i="5" s="1"/>
  <c r="V236" i="5"/>
  <c r="T236" i="5"/>
  <c r="R236" i="5"/>
  <c r="P236" i="5"/>
  <c r="O236" i="5"/>
  <c r="V234" i="5"/>
  <c r="T234" i="5"/>
  <c r="R234" i="5"/>
  <c r="P234" i="5"/>
  <c r="O234" i="5"/>
  <c r="V232" i="5"/>
  <c r="T232" i="5"/>
  <c r="R232" i="5"/>
  <c r="P232" i="5"/>
  <c r="O232" i="5"/>
  <c r="V230" i="5"/>
  <c r="T230" i="5"/>
  <c r="R230" i="5"/>
  <c r="P230" i="5"/>
  <c r="O230" i="5"/>
  <c r="V228" i="5"/>
  <c r="T228" i="5"/>
  <c r="R228" i="5"/>
  <c r="P228" i="5"/>
  <c r="O228" i="5"/>
  <c r="V227" i="5"/>
  <c r="T227" i="5"/>
  <c r="R227" i="5"/>
  <c r="P227" i="5"/>
  <c r="O227" i="5"/>
  <c r="V225" i="5"/>
  <c r="T225" i="5"/>
  <c r="R225" i="5"/>
  <c r="P225" i="5"/>
  <c r="O225" i="5"/>
  <c r="V222" i="5"/>
  <c r="T222" i="5"/>
  <c r="R222" i="5"/>
  <c r="P222" i="5"/>
  <c r="O222" i="5"/>
  <c r="V220" i="5"/>
  <c r="T220" i="5"/>
  <c r="R220" i="5"/>
  <c r="P220" i="5"/>
  <c r="O220" i="5"/>
  <c r="V218" i="5"/>
  <c r="V239" i="5" s="1"/>
  <c r="T218" i="5"/>
  <c r="R218" i="5"/>
  <c r="P218" i="5"/>
  <c r="O218" i="5"/>
  <c r="O239" i="5" s="1"/>
  <c r="K263" i="5"/>
  <c r="I263" i="5"/>
  <c r="E265" i="5" s="1"/>
  <c r="G263" i="5"/>
  <c r="E263" i="5"/>
  <c r="D263" i="5"/>
  <c r="D265" i="5"/>
  <c r="D266" i="5" s="1"/>
  <c r="K165" i="5"/>
  <c r="I165" i="5"/>
  <c r="G165" i="5"/>
  <c r="E165" i="5"/>
  <c r="D165" i="5"/>
  <c r="D167" i="5" s="1"/>
  <c r="L262" i="5"/>
  <c r="J262" i="5"/>
  <c r="H262" i="5"/>
  <c r="F262" i="5"/>
  <c r="L261" i="5"/>
  <c r="J261" i="5"/>
  <c r="H261" i="5"/>
  <c r="F261" i="5"/>
  <c r="L260" i="5"/>
  <c r="J260" i="5"/>
  <c r="H260" i="5"/>
  <c r="F260" i="5"/>
  <c r="L259" i="5"/>
  <c r="J259" i="5"/>
  <c r="H259" i="5"/>
  <c r="F259" i="5"/>
  <c r="L258" i="5"/>
  <c r="J258" i="5"/>
  <c r="H258" i="5"/>
  <c r="F258" i="5"/>
  <c r="L257" i="5"/>
  <c r="J257" i="5"/>
  <c r="H257" i="5"/>
  <c r="F257" i="5"/>
  <c r="L256" i="5"/>
  <c r="J256" i="5"/>
  <c r="H256" i="5"/>
  <c r="F256" i="5"/>
  <c r="L255" i="5"/>
  <c r="J255" i="5"/>
  <c r="H255" i="5"/>
  <c r="F255" i="5"/>
  <c r="L254" i="5"/>
  <c r="J254" i="5"/>
  <c r="H254" i="5"/>
  <c r="F254" i="5"/>
  <c r="L253" i="5"/>
  <c r="J253" i="5"/>
  <c r="H253" i="5"/>
  <c r="F253" i="5"/>
  <c r="L252" i="5"/>
  <c r="J252" i="5"/>
  <c r="H252" i="5"/>
  <c r="F252" i="5"/>
  <c r="L251" i="5"/>
  <c r="J251" i="5"/>
  <c r="H251" i="5"/>
  <c r="F251" i="5"/>
  <c r="L250" i="5"/>
  <c r="J250" i="5"/>
  <c r="H250" i="5"/>
  <c r="F250" i="5"/>
  <c r="L249" i="5"/>
  <c r="J249" i="5"/>
  <c r="H249" i="5"/>
  <c r="F249" i="5"/>
  <c r="H248" i="5"/>
  <c r="L248" i="5"/>
  <c r="J248" i="5"/>
  <c r="F248" i="5"/>
  <c r="L247" i="5"/>
  <c r="J247" i="5"/>
  <c r="H247" i="5"/>
  <c r="F247" i="5"/>
  <c r="L246" i="5"/>
  <c r="J246" i="5"/>
  <c r="F246" i="5"/>
  <c r="H246" i="5"/>
  <c r="L245" i="5"/>
  <c r="J245" i="5"/>
  <c r="H245" i="5"/>
  <c r="F245" i="5"/>
  <c r="L244" i="5"/>
  <c r="J244" i="5"/>
  <c r="H244" i="5"/>
  <c r="F244" i="5"/>
  <c r="L243" i="5"/>
  <c r="J243" i="5"/>
  <c r="H243" i="5"/>
  <c r="F243" i="5"/>
  <c r="L242" i="5"/>
  <c r="J242" i="5"/>
  <c r="H242" i="5"/>
  <c r="F242" i="5"/>
  <c r="L241" i="5"/>
  <c r="J241" i="5"/>
  <c r="H241" i="5"/>
  <c r="F241" i="5"/>
  <c r="L240" i="5"/>
  <c r="H240" i="5"/>
  <c r="F240" i="5"/>
  <c r="L238" i="5"/>
  <c r="H238" i="5"/>
  <c r="F238" i="5"/>
  <c r="L237" i="5"/>
  <c r="H237" i="5"/>
  <c r="F237" i="5"/>
  <c r="L236" i="5"/>
  <c r="H236" i="5"/>
  <c r="F236" i="5"/>
  <c r="J240" i="5"/>
  <c r="J238" i="5"/>
  <c r="J237" i="5"/>
  <c r="J236" i="5"/>
  <c r="J235" i="5"/>
  <c r="L235" i="5"/>
  <c r="H235" i="5"/>
  <c r="F235" i="5"/>
  <c r="L234" i="5"/>
  <c r="J234" i="5"/>
  <c r="H234" i="5"/>
  <c r="F234" i="5"/>
  <c r="L233" i="5"/>
  <c r="J233" i="5"/>
  <c r="H233" i="5"/>
  <c r="F233" i="5"/>
  <c r="L232" i="5"/>
  <c r="J232" i="5"/>
  <c r="H232" i="5"/>
  <c r="F232" i="5"/>
  <c r="L231" i="5"/>
  <c r="J231" i="5"/>
  <c r="H231" i="5"/>
  <c r="F231" i="5"/>
  <c r="L230" i="5"/>
  <c r="J230" i="5"/>
  <c r="H230" i="5"/>
  <c r="F230" i="5"/>
  <c r="L229" i="5"/>
  <c r="J229" i="5"/>
  <c r="H229" i="5"/>
  <c r="F229" i="5"/>
  <c r="L228" i="5"/>
  <c r="J228" i="5"/>
  <c r="H228" i="5"/>
  <c r="F228" i="5"/>
  <c r="L227" i="5"/>
  <c r="J227" i="5"/>
  <c r="H227" i="5"/>
  <c r="F227" i="5"/>
  <c r="L226" i="5"/>
  <c r="J226" i="5"/>
  <c r="H226" i="5"/>
  <c r="F226" i="5"/>
  <c r="L225" i="5"/>
  <c r="J225" i="5"/>
  <c r="H225" i="5"/>
  <c r="F225" i="5"/>
  <c r="L224" i="5"/>
  <c r="J224" i="5"/>
  <c r="H224" i="5"/>
  <c r="F224" i="5"/>
  <c r="L223" i="5"/>
  <c r="J223" i="5"/>
  <c r="H223" i="5"/>
  <c r="F223" i="5"/>
  <c r="L222" i="5"/>
  <c r="J222" i="5"/>
  <c r="H222" i="5"/>
  <c r="F222" i="5"/>
  <c r="L221" i="5"/>
  <c r="J221" i="5"/>
  <c r="H221" i="5"/>
  <c r="F221" i="5"/>
  <c r="L220" i="5"/>
  <c r="J220" i="5"/>
  <c r="H220" i="5"/>
  <c r="F220" i="5"/>
  <c r="L219" i="5"/>
  <c r="J219" i="5"/>
  <c r="H219" i="5"/>
  <c r="F219" i="5"/>
  <c r="L218" i="5"/>
  <c r="L217" i="5"/>
  <c r="J218" i="5"/>
  <c r="J217" i="5"/>
  <c r="H218" i="5"/>
  <c r="H217" i="5"/>
  <c r="F218" i="5"/>
  <c r="F217" i="5"/>
  <c r="V164" i="5"/>
  <c r="T164" i="5"/>
  <c r="R164" i="5"/>
  <c r="P164" i="5"/>
  <c r="O164" i="5"/>
  <c r="V162" i="5"/>
  <c r="T162" i="5"/>
  <c r="R162" i="5"/>
  <c r="P162" i="5"/>
  <c r="O162" i="5"/>
  <c r="V160" i="5"/>
  <c r="T160" i="5"/>
  <c r="R160" i="5"/>
  <c r="P160" i="5"/>
  <c r="O160" i="5"/>
  <c r="V156" i="5"/>
  <c r="T156" i="5"/>
  <c r="R156" i="5"/>
  <c r="P156" i="5"/>
  <c r="O156" i="5"/>
  <c r="V152" i="5"/>
  <c r="T152" i="5"/>
  <c r="R152" i="5"/>
  <c r="P152" i="5"/>
  <c r="O152" i="5"/>
  <c r="O165" i="5" s="1"/>
  <c r="V148" i="5"/>
  <c r="T148" i="5"/>
  <c r="R148" i="5"/>
  <c r="P148" i="5"/>
  <c r="V143" i="5"/>
  <c r="T143" i="5"/>
  <c r="R143" i="5"/>
  <c r="P143" i="5"/>
  <c r="O143" i="5"/>
  <c r="V141" i="5"/>
  <c r="T141" i="5"/>
  <c r="R141" i="5"/>
  <c r="P141" i="5"/>
  <c r="O141" i="5"/>
  <c r="V139" i="5"/>
  <c r="T139" i="5"/>
  <c r="R139" i="5"/>
  <c r="P139" i="5"/>
  <c r="O139" i="5"/>
  <c r="V135" i="5"/>
  <c r="T135" i="5"/>
  <c r="R135" i="5"/>
  <c r="P135" i="5"/>
  <c r="O135" i="5"/>
  <c r="V131" i="5"/>
  <c r="T131" i="5"/>
  <c r="R131" i="5"/>
  <c r="P131" i="5"/>
  <c r="O131" i="5"/>
  <c r="V127" i="5"/>
  <c r="T127" i="5"/>
  <c r="R127" i="5"/>
  <c r="P127" i="5"/>
  <c r="O127" i="5"/>
  <c r="L164" i="5"/>
  <c r="L163" i="5"/>
  <c r="J164" i="5"/>
  <c r="J163" i="5"/>
  <c r="H164" i="5"/>
  <c r="H163" i="5"/>
  <c r="F164" i="5"/>
  <c r="F163" i="5"/>
  <c r="L147" i="5"/>
  <c r="J147" i="5"/>
  <c r="H147" i="5"/>
  <c r="F147" i="5"/>
  <c r="L162" i="5"/>
  <c r="L161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6" i="5"/>
  <c r="L145" i="5"/>
  <c r="J162" i="5"/>
  <c r="J161" i="5"/>
  <c r="J160" i="5"/>
  <c r="J159" i="5"/>
  <c r="J158" i="5"/>
  <c r="J157" i="5"/>
  <c r="J156" i="5"/>
  <c r="J155" i="5"/>
  <c r="J154" i="5"/>
  <c r="J153" i="5"/>
  <c r="J152" i="5"/>
  <c r="J151" i="5"/>
  <c r="J150" i="5"/>
  <c r="J149" i="5"/>
  <c r="J148" i="5"/>
  <c r="J146" i="5"/>
  <c r="J145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6" i="5"/>
  <c r="H145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6" i="5"/>
  <c r="F145" i="5"/>
  <c r="L139" i="5"/>
  <c r="J139" i="5"/>
  <c r="H139" i="5"/>
  <c r="F139" i="5"/>
  <c r="F128" i="5"/>
  <c r="L128" i="5"/>
  <c r="J128" i="5"/>
  <c r="H128" i="5"/>
  <c r="F132" i="5"/>
  <c r="H132" i="5"/>
  <c r="J132" i="5"/>
  <c r="L132" i="5"/>
  <c r="L136" i="5"/>
  <c r="J136" i="5"/>
  <c r="H136" i="5"/>
  <c r="F136" i="5"/>
  <c r="L143" i="5"/>
  <c r="L142" i="5"/>
  <c r="L141" i="5"/>
  <c r="L140" i="5"/>
  <c r="L138" i="5"/>
  <c r="L137" i="5"/>
  <c r="L135" i="5"/>
  <c r="L134" i="5"/>
  <c r="L133" i="5"/>
  <c r="L131" i="5"/>
  <c r="L130" i="5"/>
  <c r="L129" i="5"/>
  <c r="L127" i="5"/>
  <c r="L126" i="5"/>
  <c r="L125" i="5"/>
  <c r="L124" i="5"/>
  <c r="J143" i="5"/>
  <c r="J142" i="5"/>
  <c r="J141" i="5"/>
  <c r="J140" i="5"/>
  <c r="J138" i="5"/>
  <c r="J137" i="5"/>
  <c r="J135" i="5"/>
  <c r="J134" i="5"/>
  <c r="J133" i="5"/>
  <c r="J131" i="5"/>
  <c r="J130" i="5"/>
  <c r="J129" i="5"/>
  <c r="J127" i="5"/>
  <c r="J126" i="5"/>
  <c r="J125" i="5"/>
  <c r="J124" i="5"/>
  <c r="H143" i="5"/>
  <c r="H142" i="5"/>
  <c r="H141" i="5"/>
  <c r="H140" i="5"/>
  <c r="H138" i="5"/>
  <c r="H137" i="5"/>
  <c r="H135" i="5"/>
  <c r="H134" i="5"/>
  <c r="H133" i="5"/>
  <c r="H131" i="5"/>
  <c r="H130" i="5"/>
  <c r="H129" i="5"/>
  <c r="H127" i="5"/>
  <c r="H126" i="5"/>
  <c r="H125" i="5"/>
  <c r="H124" i="5"/>
  <c r="F143" i="5"/>
  <c r="F142" i="5"/>
  <c r="F141" i="5"/>
  <c r="F140" i="5"/>
  <c r="F138" i="5"/>
  <c r="F137" i="5"/>
  <c r="F135" i="5"/>
  <c r="F134" i="5"/>
  <c r="F133" i="5"/>
  <c r="F131" i="5"/>
  <c r="F130" i="5"/>
  <c r="F129" i="5"/>
  <c r="F127" i="5"/>
  <c r="F126" i="5"/>
  <c r="F125" i="5"/>
  <c r="F124" i="5"/>
  <c r="CA137" i="2"/>
  <c r="CB137" i="2"/>
  <c r="CF134" i="2"/>
  <c r="CF136" i="2"/>
  <c r="CF135" i="2"/>
  <c r="CF133" i="2"/>
  <c r="CB136" i="2"/>
  <c r="BZ136" i="2"/>
  <c r="D119" i="2"/>
  <c r="C119" i="2"/>
  <c r="D107" i="2"/>
  <c r="C107" i="2"/>
  <c r="D101" i="2"/>
  <c r="D104" i="2"/>
  <c r="C101" i="2"/>
  <c r="C104" i="2"/>
  <c r="T133" i="2"/>
  <c r="R133" i="2"/>
  <c r="P133" i="2"/>
  <c r="N132" i="2"/>
  <c r="N134" i="2"/>
  <c r="N131" i="2"/>
  <c r="AT135" i="2"/>
  <c r="Z134" i="2"/>
  <c r="T134" i="2"/>
  <c r="AT134" i="2"/>
  <c r="B21" i="3"/>
  <c r="D161" i="2"/>
  <c r="D152" i="2"/>
  <c r="C152" i="2"/>
  <c r="D148" i="2"/>
  <c r="C148" i="2"/>
  <c r="D146" i="2"/>
  <c r="D149" i="2"/>
  <c r="C146" i="2"/>
  <c r="C149" i="2"/>
  <c r="C144" i="2"/>
  <c r="D144" i="2"/>
  <c r="AH139" i="2"/>
  <c r="AC138" i="2"/>
  <c r="CB135" i="2"/>
  <c r="BZ135" i="2"/>
  <c r="P135" i="2"/>
  <c r="CB134" i="2"/>
  <c r="BZ134" i="2"/>
  <c r="P134" i="2"/>
  <c r="CB133" i="2"/>
  <c r="BZ133" i="2"/>
  <c r="T132" i="2"/>
  <c r="P132" i="2"/>
  <c r="CB132" i="2"/>
  <c r="BZ132" i="2"/>
  <c r="CB131" i="2"/>
  <c r="BZ131" i="2"/>
  <c r="AD138" i="2"/>
  <c r="T131" i="2"/>
  <c r="P131" i="2"/>
  <c r="R220" i="3"/>
  <c r="S218" i="3"/>
  <c r="S220" i="3"/>
  <c r="Q220" i="3"/>
  <c r="P220" i="3"/>
  <c r="O220" i="3"/>
  <c r="M220" i="3"/>
  <c r="L220" i="3"/>
  <c r="H220" i="3"/>
  <c r="F220" i="3"/>
  <c r="D220" i="3"/>
  <c r="F221" i="3" s="1"/>
  <c r="G221" i="3" s="1"/>
  <c r="B220" i="3"/>
  <c r="I219" i="3"/>
  <c r="G219" i="3"/>
  <c r="E219" i="3"/>
  <c r="C219" i="3"/>
  <c r="I218" i="3"/>
  <c r="E218" i="3"/>
  <c r="C218" i="3"/>
  <c r="E217" i="3"/>
  <c r="C217" i="3"/>
  <c r="E216" i="3"/>
  <c r="C216" i="3"/>
  <c r="E215" i="3"/>
  <c r="C101" i="3"/>
  <c r="E101" i="3" s="1"/>
  <c r="M114" i="4"/>
  <c r="L114" i="4"/>
  <c r="J114" i="4"/>
  <c r="I114" i="4"/>
  <c r="H114" i="4"/>
  <c r="G114" i="4"/>
  <c r="F114" i="4"/>
  <c r="G115" i="4" s="1"/>
  <c r="E114" i="4"/>
  <c r="C114" i="4"/>
  <c r="D114" i="4"/>
  <c r="E115" i="4" s="1"/>
  <c r="B114" i="4"/>
  <c r="K113" i="4"/>
  <c r="N113" i="4"/>
  <c r="K112" i="4"/>
  <c r="N112" i="4" s="1"/>
  <c r="K111" i="4"/>
  <c r="N111" i="4"/>
  <c r="K110" i="4"/>
  <c r="N110" i="4" s="1"/>
  <c r="K109" i="4"/>
  <c r="N109" i="4"/>
  <c r="K108" i="4"/>
  <c r="N108" i="4" s="1"/>
  <c r="K107" i="4"/>
  <c r="N107" i="4" s="1"/>
  <c r="K106" i="4"/>
  <c r="N106" i="4" s="1"/>
  <c r="K105" i="4"/>
  <c r="N105" i="4"/>
  <c r="K104" i="4"/>
  <c r="N104" i="4" s="1"/>
  <c r="K102" i="4"/>
  <c r="N102" i="4"/>
  <c r="K101" i="4"/>
  <c r="N101" i="4" s="1"/>
  <c r="K100" i="4"/>
  <c r="N100" i="4"/>
  <c r="K99" i="4"/>
  <c r="N99" i="4" s="1"/>
  <c r="K98" i="4"/>
  <c r="N98" i="4" s="1"/>
  <c r="K97" i="4"/>
  <c r="N97" i="4" s="1"/>
  <c r="K96" i="4"/>
  <c r="N96" i="4"/>
  <c r="K95" i="4"/>
  <c r="N95" i="4"/>
  <c r="K94" i="4"/>
  <c r="N94" i="4"/>
  <c r="K93" i="4"/>
  <c r="N93" i="4"/>
  <c r="K91" i="4"/>
  <c r="N91" i="4"/>
  <c r="K90" i="4"/>
  <c r="N90" i="4"/>
  <c r="K89" i="4"/>
  <c r="N89" i="4"/>
  <c r="K88" i="4"/>
  <c r="N88" i="4"/>
  <c r="K87" i="4"/>
  <c r="N87" i="4"/>
  <c r="K86" i="4"/>
  <c r="N86" i="4"/>
  <c r="K85" i="4"/>
  <c r="N85" i="4"/>
  <c r="K84" i="4"/>
  <c r="N84" i="4"/>
  <c r="K83" i="4"/>
  <c r="N83" i="4"/>
  <c r="K82" i="4"/>
  <c r="N82" i="4"/>
  <c r="Q43" i="6"/>
  <c r="O43" i="6"/>
  <c r="K43" i="6"/>
  <c r="F43" i="6"/>
  <c r="K42" i="6"/>
  <c r="Q42" i="6"/>
  <c r="O42" i="6"/>
  <c r="F42" i="6"/>
  <c r="V206" i="5"/>
  <c r="T206" i="5"/>
  <c r="R206" i="5"/>
  <c r="P206" i="5"/>
  <c r="O206" i="5"/>
  <c r="W206" i="5"/>
  <c r="V203" i="5"/>
  <c r="T203" i="5"/>
  <c r="R203" i="5"/>
  <c r="P203" i="5"/>
  <c r="O203" i="5"/>
  <c r="W203" i="5"/>
  <c r="V200" i="5"/>
  <c r="T200" i="5"/>
  <c r="U200" i="5" s="1"/>
  <c r="R200" i="5"/>
  <c r="P200" i="5"/>
  <c r="O200" i="5"/>
  <c r="W200" i="5"/>
  <c r="V197" i="5"/>
  <c r="T197" i="5"/>
  <c r="R197" i="5"/>
  <c r="P197" i="5"/>
  <c r="O197" i="5"/>
  <c r="W197" i="5"/>
  <c r="V194" i="5"/>
  <c r="T194" i="5"/>
  <c r="R194" i="5"/>
  <c r="O194" i="5"/>
  <c r="V189" i="5"/>
  <c r="T189" i="5"/>
  <c r="R189" i="5"/>
  <c r="P189" i="5"/>
  <c r="O189" i="5"/>
  <c r="V186" i="5"/>
  <c r="T186" i="5"/>
  <c r="R186" i="5"/>
  <c r="P186" i="5"/>
  <c r="O186" i="5"/>
  <c r="O190" i="5" s="1"/>
  <c r="V183" i="5"/>
  <c r="T183" i="5"/>
  <c r="R183" i="5"/>
  <c r="P183" i="5"/>
  <c r="O183" i="5"/>
  <c r="V180" i="5"/>
  <c r="T180" i="5"/>
  <c r="R180" i="5"/>
  <c r="P180" i="5"/>
  <c r="O180" i="5"/>
  <c r="V177" i="5"/>
  <c r="T177" i="5"/>
  <c r="R177" i="5"/>
  <c r="P177" i="5"/>
  <c r="O177" i="5"/>
  <c r="L206" i="5"/>
  <c r="L205" i="5"/>
  <c r="L204" i="5"/>
  <c r="L203" i="5"/>
  <c r="L202" i="5"/>
  <c r="L201" i="5"/>
  <c r="L200" i="5"/>
  <c r="L199" i="5"/>
  <c r="L198" i="5"/>
  <c r="L197" i="5"/>
  <c r="L196" i="5"/>
  <c r="L195" i="5"/>
  <c r="L194" i="5"/>
  <c r="L193" i="5"/>
  <c r="L192" i="5"/>
  <c r="L191" i="5"/>
  <c r="J206" i="5"/>
  <c r="J205" i="5"/>
  <c r="J204" i="5"/>
  <c r="J203" i="5"/>
  <c r="J202" i="5"/>
  <c r="J201" i="5"/>
  <c r="J200" i="5"/>
  <c r="J199" i="5"/>
  <c r="J198" i="5"/>
  <c r="J197" i="5"/>
  <c r="J196" i="5"/>
  <c r="J195" i="5"/>
  <c r="J194" i="5"/>
  <c r="J193" i="5"/>
  <c r="J192" i="5"/>
  <c r="J191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K207" i="5"/>
  <c r="L207" i="5" s="1"/>
  <c r="I207" i="5"/>
  <c r="G207" i="5"/>
  <c r="E207" i="5"/>
  <c r="E208" i="5"/>
  <c r="L189" i="5"/>
  <c r="L188" i="5"/>
  <c r="L187" i="5"/>
  <c r="L186" i="5"/>
  <c r="L185" i="5"/>
  <c r="L184" i="5"/>
  <c r="L183" i="5"/>
  <c r="L182" i="5"/>
  <c r="L181" i="5"/>
  <c r="L180" i="5"/>
  <c r="L179" i="5"/>
  <c r="L178" i="5"/>
  <c r="L177" i="5"/>
  <c r="L176" i="5"/>
  <c r="L175" i="5"/>
  <c r="J189" i="5"/>
  <c r="J188" i="5"/>
  <c r="J187" i="5"/>
  <c r="J186" i="5"/>
  <c r="J185" i="5"/>
  <c r="J184" i="5"/>
  <c r="J183" i="5"/>
  <c r="J182" i="5"/>
  <c r="J181" i="5"/>
  <c r="J180" i="5"/>
  <c r="J179" i="5"/>
  <c r="J178" i="5"/>
  <c r="J177" i="5"/>
  <c r="J176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H175" i="5"/>
  <c r="J175" i="5"/>
  <c r="F175" i="5"/>
  <c r="D207" i="5"/>
  <c r="P44" i="6"/>
  <c r="N44" i="6"/>
  <c r="M44" i="6"/>
  <c r="L44" i="6"/>
  <c r="J44" i="6"/>
  <c r="I44" i="6"/>
  <c r="H44" i="6"/>
  <c r="G44" i="6"/>
  <c r="D44" i="6"/>
  <c r="E44" i="6"/>
  <c r="F44" i="6"/>
  <c r="CA53" i="2"/>
  <c r="CE54" i="2"/>
  <c r="CF54" i="2" s="1"/>
  <c r="BZ53" i="2"/>
  <c r="CC54" i="2"/>
  <c r="CD54" i="2" s="1"/>
  <c r="CV54" i="2"/>
  <c r="CS54" i="2"/>
  <c r="C65" i="2"/>
  <c r="CR54" i="2"/>
  <c r="CP53" i="2"/>
  <c r="CM54" i="2"/>
  <c r="CN54" i="2"/>
  <c r="CL54" i="2"/>
  <c r="CJ53" i="2"/>
  <c r="CB54" i="2"/>
  <c r="BZ54" i="2"/>
  <c r="BF53" i="2"/>
  <c r="BA54" i="2"/>
  <c r="BC54" i="2"/>
  <c r="AZ54" i="2"/>
  <c r="AQ54" i="2"/>
  <c r="AR54" i="2" s="1"/>
  <c r="AN53" i="2"/>
  <c r="AP54" i="2"/>
  <c r="K54" i="2"/>
  <c r="C72" i="2" s="1"/>
  <c r="D72" i="2" s="1"/>
  <c r="BF49" i="2"/>
  <c r="AD54" i="2"/>
  <c r="DG54" i="2"/>
  <c r="P53" i="2"/>
  <c r="P51" i="2"/>
  <c r="P50" i="2"/>
  <c r="P49" i="2"/>
  <c r="P13" i="2"/>
  <c r="P12" i="2"/>
  <c r="P11" i="2"/>
  <c r="P10" i="2"/>
  <c r="P9" i="2"/>
  <c r="P8" i="2"/>
  <c r="P7" i="2"/>
  <c r="N53" i="2"/>
  <c r="J54" i="2"/>
  <c r="R51" i="2"/>
  <c r="AT51" i="2"/>
  <c r="F8" i="5"/>
  <c r="H8" i="5"/>
  <c r="J8" i="5"/>
  <c r="L8" i="5"/>
  <c r="F9" i="5"/>
  <c r="H9" i="5"/>
  <c r="J9" i="5"/>
  <c r="L9" i="5"/>
  <c r="F10" i="5"/>
  <c r="H10" i="5"/>
  <c r="J10" i="5"/>
  <c r="L10" i="5"/>
  <c r="F11" i="5"/>
  <c r="H11" i="5"/>
  <c r="J11" i="5"/>
  <c r="L11" i="5"/>
  <c r="O11" i="5"/>
  <c r="P11" i="5"/>
  <c r="Q11" i="5" s="1"/>
  <c r="R11" i="5"/>
  <c r="T11" i="5"/>
  <c r="T32" i="5" s="1"/>
  <c r="V11" i="5"/>
  <c r="W11" i="5" s="1"/>
  <c r="F12" i="5"/>
  <c r="H12" i="5"/>
  <c r="J12" i="5"/>
  <c r="L12" i="5"/>
  <c r="F13" i="5"/>
  <c r="H13" i="5"/>
  <c r="J13" i="5"/>
  <c r="L13" i="5"/>
  <c r="F14" i="5"/>
  <c r="H14" i="5"/>
  <c r="J14" i="5"/>
  <c r="L14" i="5"/>
  <c r="F15" i="5"/>
  <c r="H15" i="5"/>
  <c r="J15" i="5"/>
  <c r="L15" i="5"/>
  <c r="O15" i="5"/>
  <c r="P15" i="5"/>
  <c r="R15" i="5"/>
  <c r="S15" i="5" s="1"/>
  <c r="T15" i="5"/>
  <c r="U15" i="5" s="1"/>
  <c r="V15" i="5"/>
  <c r="F16" i="5"/>
  <c r="H16" i="5"/>
  <c r="J16" i="5"/>
  <c r="L16" i="5"/>
  <c r="F17" i="5"/>
  <c r="H17" i="5"/>
  <c r="J17" i="5"/>
  <c r="L17" i="5"/>
  <c r="F18" i="5"/>
  <c r="H18" i="5"/>
  <c r="J18" i="5"/>
  <c r="L18" i="5"/>
  <c r="F19" i="5"/>
  <c r="H19" i="5"/>
  <c r="J19" i="5"/>
  <c r="L19" i="5"/>
  <c r="O19" i="5"/>
  <c r="P19" i="5"/>
  <c r="Q19" i="5"/>
  <c r="R19" i="5"/>
  <c r="S19" i="5"/>
  <c r="T19" i="5"/>
  <c r="V19" i="5"/>
  <c r="W19" i="5" s="1"/>
  <c r="F20" i="5"/>
  <c r="H20" i="5"/>
  <c r="J20" i="5"/>
  <c r="L20" i="5"/>
  <c r="F21" i="5"/>
  <c r="H21" i="5"/>
  <c r="J21" i="5"/>
  <c r="L21" i="5"/>
  <c r="F22" i="5"/>
  <c r="H22" i="5"/>
  <c r="J22" i="5"/>
  <c r="L22" i="5"/>
  <c r="F23" i="5"/>
  <c r="H23" i="5"/>
  <c r="J23" i="5"/>
  <c r="L23" i="5"/>
  <c r="O23" i="5"/>
  <c r="P23" i="5"/>
  <c r="Q23" i="5"/>
  <c r="R23" i="5"/>
  <c r="S23" i="5" s="1"/>
  <c r="T23" i="5"/>
  <c r="V23" i="5"/>
  <c r="W23" i="5" s="1"/>
  <c r="F24" i="5"/>
  <c r="H24" i="5"/>
  <c r="J24" i="5"/>
  <c r="L24" i="5"/>
  <c r="F25" i="5"/>
  <c r="H25" i="5"/>
  <c r="J25" i="5"/>
  <c r="L25" i="5"/>
  <c r="F26" i="5"/>
  <c r="H26" i="5"/>
  <c r="J26" i="5"/>
  <c r="L26" i="5"/>
  <c r="F27" i="5"/>
  <c r="H27" i="5"/>
  <c r="J27" i="5"/>
  <c r="L27" i="5"/>
  <c r="O27" i="5"/>
  <c r="U27" i="5" s="1"/>
  <c r="P27" i="5"/>
  <c r="R27" i="5"/>
  <c r="S27" i="5"/>
  <c r="T27" i="5"/>
  <c r="V27" i="5"/>
  <c r="F28" i="5"/>
  <c r="H28" i="5"/>
  <c r="J28" i="5"/>
  <c r="L28" i="5"/>
  <c r="F29" i="5"/>
  <c r="H29" i="5"/>
  <c r="J29" i="5"/>
  <c r="L29" i="5"/>
  <c r="F30" i="5"/>
  <c r="H30" i="5"/>
  <c r="J30" i="5"/>
  <c r="L30" i="5"/>
  <c r="F31" i="5"/>
  <c r="H31" i="5"/>
  <c r="J31" i="5"/>
  <c r="L31" i="5"/>
  <c r="O31" i="5"/>
  <c r="P31" i="5"/>
  <c r="Q31" i="5" s="1"/>
  <c r="R31" i="5"/>
  <c r="S31" i="5"/>
  <c r="T31" i="5"/>
  <c r="V31" i="5"/>
  <c r="W31" i="5"/>
  <c r="F33" i="5"/>
  <c r="H33" i="5"/>
  <c r="J33" i="5"/>
  <c r="L33" i="5"/>
  <c r="F34" i="5"/>
  <c r="H34" i="5"/>
  <c r="J34" i="5"/>
  <c r="L34" i="5"/>
  <c r="F35" i="5"/>
  <c r="H35" i="5"/>
  <c r="J35" i="5"/>
  <c r="L35" i="5"/>
  <c r="F36" i="5"/>
  <c r="H36" i="5"/>
  <c r="J36" i="5"/>
  <c r="L36" i="5"/>
  <c r="O36" i="5"/>
  <c r="S36" i="5" s="1"/>
  <c r="P36" i="5"/>
  <c r="R36" i="5"/>
  <c r="T36" i="5"/>
  <c r="V36" i="5"/>
  <c r="F37" i="5"/>
  <c r="H37" i="5"/>
  <c r="J37" i="5"/>
  <c r="L37" i="5"/>
  <c r="F38" i="5"/>
  <c r="H38" i="5"/>
  <c r="J38" i="5"/>
  <c r="L38" i="5"/>
  <c r="F39" i="5"/>
  <c r="H39" i="5"/>
  <c r="J39" i="5"/>
  <c r="L39" i="5"/>
  <c r="F40" i="5"/>
  <c r="H40" i="5"/>
  <c r="J40" i="5"/>
  <c r="L40" i="5"/>
  <c r="O40" i="5"/>
  <c r="P40" i="5"/>
  <c r="R40" i="5"/>
  <c r="S40" i="5" s="1"/>
  <c r="T40" i="5"/>
  <c r="V40" i="5"/>
  <c r="W40" i="5"/>
  <c r="F41" i="5"/>
  <c r="H41" i="5"/>
  <c r="J41" i="5"/>
  <c r="L41" i="5"/>
  <c r="F42" i="5"/>
  <c r="H42" i="5"/>
  <c r="J42" i="5"/>
  <c r="L42" i="5"/>
  <c r="F43" i="5"/>
  <c r="H43" i="5"/>
  <c r="J43" i="5"/>
  <c r="L43" i="5"/>
  <c r="F44" i="5"/>
  <c r="H44" i="5"/>
  <c r="J44" i="5"/>
  <c r="L44" i="5"/>
  <c r="O44" i="5"/>
  <c r="U44" i="5" s="1"/>
  <c r="P44" i="5"/>
  <c r="R44" i="5"/>
  <c r="T44" i="5"/>
  <c r="V44" i="5"/>
  <c r="W44" i="5" s="1"/>
  <c r="F45" i="5"/>
  <c r="H45" i="5"/>
  <c r="J45" i="5"/>
  <c r="L45" i="5"/>
  <c r="F46" i="5"/>
  <c r="H46" i="5"/>
  <c r="J46" i="5"/>
  <c r="L46" i="5"/>
  <c r="F47" i="5"/>
  <c r="H47" i="5"/>
  <c r="J47" i="5"/>
  <c r="L47" i="5"/>
  <c r="F48" i="5"/>
  <c r="H48" i="5"/>
  <c r="J48" i="5"/>
  <c r="L48" i="5"/>
  <c r="O48" i="5"/>
  <c r="P48" i="5"/>
  <c r="Q48" i="5" s="1"/>
  <c r="R48" i="5"/>
  <c r="S48" i="5"/>
  <c r="T48" i="5"/>
  <c r="V48" i="5"/>
  <c r="W48" i="5" s="1"/>
  <c r="F49" i="5"/>
  <c r="H49" i="5"/>
  <c r="J49" i="5"/>
  <c r="L49" i="5"/>
  <c r="F50" i="5"/>
  <c r="H50" i="5"/>
  <c r="J50" i="5"/>
  <c r="L50" i="5"/>
  <c r="F51" i="5"/>
  <c r="H51" i="5"/>
  <c r="J51" i="5"/>
  <c r="L51" i="5"/>
  <c r="F52" i="5"/>
  <c r="H52" i="5"/>
  <c r="J52" i="5"/>
  <c r="L52" i="5"/>
  <c r="O52" i="5"/>
  <c r="P52" i="5"/>
  <c r="Q52" i="5" s="1"/>
  <c r="R52" i="5"/>
  <c r="T52" i="5"/>
  <c r="V52" i="5"/>
  <c r="W52" i="5"/>
  <c r="F53" i="5"/>
  <c r="H53" i="5"/>
  <c r="J53" i="5"/>
  <c r="L53" i="5"/>
  <c r="F54" i="5"/>
  <c r="H54" i="5"/>
  <c r="J54" i="5"/>
  <c r="L54" i="5"/>
  <c r="F55" i="5"/>
  <c r="H55" i="5"/>
  <c r="J55" i="5"/>
  <c r="L55" i="5"/>
  <c r="F56" i="5"/>
  <c r="H56" i="5"/>
  <c r="J56" i="5"/>
  <c r="L56" i="5"/>
  <c r="O56" i="5"/>
  <c r="P56" i="5"/>
  <c r="Q56" i="5" s="1"/>
  <c r="R56" i="5"/>
  <c r="S56" i="5" s="1"/>
  <c r="T56" i="5"/>
  <c r="U56" i="5" s="1"/>
  <c r="V56" i="5"/>
  <c r="W56" i="5"/>
  <c r="D57" i="5"/>
  <c r="D58" i="5"/>
  <c r="E57" i="5"/>
  <c r="G57" i="5"/>
  <c r="E58" i="5" s="1"/>
  <c r="I57" i="5"/>
  <c r="K57" i="5"/>
  <c r="F67" i="5"/>
  <c r="H67" i="5"/>
  <c r="J67" i="5"/>
  <c r="L67" i="5"/>
  <c r="F68" i="5"/>
  <c r="H68" i="5"/>
  <c r="J68" i="5"/>
  <c r="L68" i="5"/>
  <c r="F69" i="5"/>
  <c r="H69" i="5"/>
  <c r="J69" i="5"/>
  <c r="L69" i="5"/>
  <c r="O69" i="5"/>
  <c r="P69" i="5"/>
  <c r="R69" i="5"/>
  <c r="S69" i="5" s="1"/>
  <c r="T69" i="5"/>
  <c r="V69" i="5"/>
  <c r="F70" i="5"/>
  <c r="H70" i="5"/>
  <c r="J70" i="5"/>
  <c r="L70" i="5"/>
  <c r="F71" i="5"/>
  <c r="H71" i="5"/>
  <c r="J71" i="5"/>
  <c r="L71" i="5"/>
  <c r="F72" i="5"/>
  <c r="H72" i="5"/>
  <c r="J72" i="5"/>
  <c r="L72" i="5"/>
  <c r="F73" i="5"/>
  <c r="H73" i="5"/>
  <c r="J73" i="5"/>
  <c r="L73" i="5"/>
  <c r="O73" i="5"/>
  <c r="R73" i="5"/>
  <c r="T73" i="5"/>
  <c r="V73" i="5"/>
  <c r="F74" i="5"/>
  <c r="H74" i="5"/>
  <c r="J74" i="5"/>
  <c r="L74" i="5"/>
  <c r="F75" i="5"/>
  <c r="H75" i="5"/>
  <c r="J75" i="5"/>
  <c r="L75" i="5"/>
  <c r="F76" i="5"/>
  <c r="H76" i="5"/>
  <c r="J76" i="5"/>
  <c r="L76" i="5"/>
  <c r="O76" i="5"/>
  <c r="P76" i="5"/>
  <c r="R76" i="5"/>
  <c r="S76" i="5" s="1"/>
  <c r="T76" i="5"/>
  <c r="V76" i="5"/>
  <c r="F77" i="5"/>
  <c r="H77" i="5"/>
  <c r="J77" i="5"/>
  <c r="L77" i="5"/>
  <c r="F78" i="5"/>
  <c r="H78" i="5"/>
  <c r="J78" i="5"/>
  <c r="L78" i="5"/>
  <c r="F79" i="5"/>
  <c r="H79" i="5"/>
  <c r="J79" i="5"/>
  <c r="L79" i="5"/>
  <c r="F80" i="5"/>
  <c r="H80" i="5"/>
  <c r="J80" i="5"/>
  <c r="L80" i="5"/>
  <c r="O80" i="5"/>
  <c r="Q80" i="5" s="1"/>
  <c r="R80" i="5"/>
  <c r="T80" i="5"/>
  <c r="V80" i="5"/>
  <c r="W80" i="5"/>
  <c r="F81" i="5"/>
  <c r="H81" i="5"/>
  <c r="J81" i="5"/>
  <c r="L81" i="5"/>
  <c r="F82" i="5"/>
  <c r="H82" i="5"/>
  <c r="J82" i="5"/>
  <c r="L82" i="5"/>
  <c r="F83" i="5"/>
  <c r="H83" i="5"/>
  <c r="J83" i="5"/>
  <c r="L83" i="5"/>
  <c r="F84" i="5"/>
  <c r="H84" i="5"/>
  <c r="J84" i="5"/>
  <c r="L84" i="5"/>
  <c r="F85" i="5"/>
  <c r="H85" i="5"/>
  <c r="J85" i="5"/>
  <c r="L85" i="5"/>
  <c r="O85" i="5"/>
  <c r="P85" i="5"/>
  <c r="R85" i="5"/>
  <c r="S85" i="5"/>
  <c r="T85" i="5"/>
  <c r="V85" i="5"/>
  <c r="W85" i="5"/>
  <c r="F86" i="5"/>
  <c r="H86" i="5"/>
  <c r="J86" i="5"/>
  <c r="L86" i="5"/>
  <c r="F87" i="5"/>
  <c r="H87" i="5"/>
  <c r="J87" i="5"/>
  <c r="L87" i="5"/>
  <c r="F88" i="5"/>
  <c r="H88" i="5"/>
  <c r="J88" i="5"/>
  <c r="L88" i="5"/>
  <c r="F89" i="5"/>
  <c r="H89" i="5"/>
  <c r="J89" i="5"/>
  <c r="L89" i="5"/>
  <c r="O89" i="5"/>
  <c r="Q89" i="5" s="1"/>
  <c r="R89" i="5"/>
  <c r="T89" i="5"/>
  <c r="V89" i="5"/>
  <c r="F91" i="5"/>
  <c r="H91" i="5"/>
  <c r="J91" i="5"/>
  <c r="L91" i="5"/>
  <c r="F92" i="5"/>
  <c r="H92" i="5"/>
  <c r="J92" i="5"/>
  <c r="L92" i="5"/>
  <c r="F93" i="5"/>
  <c r="H93" i="5"/>
  <c r="J93" i="5"/>
  <c r="L93" i="5"/>
  <c r="F94" i="5"/>
  <c r="H94" i="5"/>
  <c r="J94" i="5"/>
  <c r="L94" i="5"/>
  <c r="O94" i="5"/>
  <c r="R94" i="5"/>
  <c r="T94" i="5"/>
  <c r="V94" i="5"/>
  <c r="F95" i="5"/>
  <c r="H95" i="5"/>
  <c r="J95" i="5"/>
  <c r="L95" i="5"/>
  <c r="F96" i="5"/>
  <c r="H96" i="5"/>
  <c r="J96" i="5"/>
  <c r="L96" i="5"/>
  <c r="F97" i="5"/>
  <c r="H97" i="5"/>
  <c r="J97" i="5"/>
  <c r="L97" i="5"/>
  <c r="F98" i="5"/>
  <c r="H98" i="5"/>
  <c r="J98" i="5"/>
  <c r="L98" i="5"/>
  <c r="O98" i="5"/>
  <c r="R98" i="5"/>
  <c r="S98" i="5" s="1"/>
  <c r="T98" i="5"/>
  <c r="V98" i="5"/>
  <c r="W98" i="5" s="1"/>
  <c r="F99" i="5"/>
  <c r="H99" i="5"/>
  <c r="J99" i="5"/>
  <c r="L99" i="5"/>
  <c r="F100" i="5"/>
  <c r="H100" i="5"/>
  <c r="J100" i="5"/>
  <c r="L100" i="5"/>
  <c r="F101" i="5"/>
  <c r="H101" i="5"/>
  <c r="J101" i="5"/>
  <c r="L101" i="5"/>
  <c r="F102" i="5"/>
  <c r="H102" i="5"/>
  <c r="J102" i="5"/>
  <c r="L102" i="5"/>
  <c r="O102" i="5"/>
  <c r="R102" i="5"/>
  <c r="S102" i="5"/>
  <c r="T102" i="5"/>
  <c r="V102" i="5"/>
  <c r="W102" i="5" s="1"/>
  <c r="F103" i="5"/>
  <c r="H103" i="5"/>
  <c r="J103" i="5"/>
  <c r="L103" i="5"/>
  <c r="F104" i="5"/>
  <c r="H104" i="5"/>
  <c r="J104" i="5"/>
  <c r="L104" i="5"/>
  <c r="F105" i="5"/>
  <c r="H105" i="5"/>
  <c r="J105" i="5"/>
  <c r="L105" i="5"/>
  <c r="F106" i="5"/>
  <c r="H106" i="5"/>
  <c r="J106" i="5"/>
  <c r="L106" i="5"/>
  <c r="O106" i="5"/>
  <c r="R106" i="5"/>
  <c r="S106" i="5" s="1"/>
  <c r="T106" i="5"/>
  <c r="U106" i="5"/>
  <c r="V106" i="5"/>
  <c r="W106" i="5" s="1"/>
  <c r="F107" i="5"/>
  <c r="H107" i="5"/>
  <c r="J107" i="5"/>
  <c r="L107" i="5"/>
  <c r="F108" i="5"/>
  <c r="H108" i="5"/>
  <c r="J108" i="5"/>
  <c r="L108" i="5"/>
  <c r="F109" i="5"/>
  <c r="H109" i="5"/>
  <c r="J109" i="5"/>
  <c r="L109" i="5"/>
  <c r="O109" i="5"/>
  <c r="P109" i="5"/>
  <c r="P114" i="5" s="1"/>
  <c r="R109" i="5"/>
  <c r="S109" i="5" s="1"/>
  <c r="T109" i="5"/>
  <c r="V109" i="5"/>
  <c r="F110" i="5"/>
  <c r="H110" i="5"/>
  <c r="J110" i="5"/>
  <c r="L110" i="5"/>
  <c r="F111" i="5"/>
  <c r="H111" i="5"/>
  <c r="J111" i="5"/>
  <c r="L111" i="5"/>
  <c r="F112" i="5"/>
  <c r="H112" i="5"/>
  <c r="J112" i="5"/>
  <c r="L112" i="5"/>
  <c r="F113" i="5"/>
  <c r="H113" i="5"/>
  <c r="J113" i="5"/>
  <c r="L113" i="5"/>
  <c r="O113" i="5"/>
  <c r="R113" i="5"/>
  <c r="T113" i="5"/>
  <c r="V113" i="5"/>
  <c r="D114" i="5"/>
  <c r="E114" i="5"/>
  <c r="G114" i="5"/>
  <c r="I114" i="5"/>
  <c r="K114" i="5"/>
  <c r="L114" i="5" s="1"/>
  <c r="E8" i="6"/>
  <c r="F8" i="6" s="1"/>
  <c r="K8" i="6"/>
  <c r="O8" i="6"/>
  <c r="Q8" i="6"/>
  <c r="F9" i="6"/>
  <c r="K9" i="6"/>
  <c r="O9" i="6"/>
  <c r="Q9" i="6"/>
  <c r="D10" i="6"/>
  <c r="G10" i="6"/>
  <c r="H10" i="6"/>
  <c r="I10" i="6"/>
  <c r="J10" i="6"/>
  <c r="K10" i="6"/>
  <c r="L10" i="6"/>
  <c r="M10" i="6"/>
  <c r="N10" i="6"/>
  <c r="P10" i="6"/>
  <c r="Q10" i="6" s="1"/>
  <c r="F21" i="6"/>
  <c r="K21" i="6"/>
  <c r="O21" i="6"/>
  <c r="Q21" i="6"/>
  <c r="E22" i="6"/>
  <c r="F22" i="6" s="1"/>
  <c r="K22" i="6"/>
  <c r="O22" i="6"/>
  <c r="Q22" i="6"/>
  <c r="D23" i="6"/>
  <c r="E23" i="6"/>
  <c r="F23" i="6" s="1"/>
  <c r="G23" i="6"/>
  <c r="H23" i="6"/>
  <c r="I23" i="6"/>
  <c r="J23" i="6"/>
  <c r="K23" i="6" s="1"/>
  <c r="L23" i="6"/>
  <c r="M23" i="6"/>
  <c r="N23" i="6"/>
  <c r="P23" i="6"/>
  <c r="G10" i="3"/>
  <c r="G21" i="3" s="1"/>
  <c r="I10" i="3"/>
  <c r="I21" i="3" s="1"/>
  <c r="C21" i="3"/>
  <c r="D21" i="3"/>
  <c r="E21" i="3"/>
  <c r="F21" i="3"/>
  <c r="H21" i="3"/>
  <c r="L21" i="3"/>
  <c r="M21" i="3"/>
  <c r="O21" i="3"/>
  <c r="P21" i="3"/>
  <c r="Q21" i="3"/>
  <c r="C29" i="3"/>
  <c r="E29" i="3" s="1"/>
  <c r="F29" i="3" s="1"/>
  <c r="J29" i="3"/>
  <c r="K29" i="3"/>
  <c r="M29" i="3"/>
  <c r="N29" i="3"/>
  <c r="S29" i="3"/>
  <c r="T29" i="3"/>
  <c r="V29" i="3"/>
  <c r="C30" i="3"/>
  <c r="E30" i="3" s="1"/>
  <c r="F30" i="3" s="1"/>
  <c r="J30" i="3"/>
  <c r="K30" i="3"/>
  <c r="M30" i="3"/>
  <c r="N30" i="3"/>
  <c r="C31" i="3"/>
  <c r="E31" i="3"/>
  <c r="J31" i="3"/>
  <c r="K31" i="3"/>
  <c r="M31" i="3"/>
  <c r="N31" i="3"/>
  <c r="B32" i="3"/>
  <c r="C32" i="3"/>
  <c r="E32" i="3" s="1"/>
  <c r="F32" i="3" s="1"/>
  <c r="J32" i="3"/>
  <c r="K32" i="3"/>
  <c r="M32" i="3"/>
  <c r="N32" i="3"/>
  <c r="B33" i="3"/>
  <c r="C33" i="3"/>
  <c r="E33" i="3" s="1"/>
  <c r="F33" i="3" s="1"/>
  <c r="J33" i="3"/>
  <c r="K33" i="3"/>
  <c r="M33" i="3"/>
  <c r="N33" i="3"/>
  <c r="C34" i="3"/>
  <c r="E34" i="3"/>
  <c r="F34" i="3" s="1"/>
  <c r="J34" i="3"/>
  <c r="K34" i="3" s="1"/>
  <c r="M34" i="3"/>
  <c r="C35" i="3"/>
  <c r="E35" i="3"/>
  <c r="F35" i="3" s="1"/>
  <c r="J35" i="3"/>
  <c r="K35" i="3" s="1"/>
  <c r="M35" i="3"/>
  <c r="N35" i="3" s="1"/>
  <c r="J36" i="3"/>
  <c r="K36" i="3" s="1"/>
  <c r="M36" i="3"/>
  <c r="N36" i="3" s="1"/>
  <c r="V37" i="3"/>
  <c r="B39" i="3"/>
  <c r="C39" i="3" s="1"/>
  <c r="E39" i="3" s="1"/>
  <c r="J39" i="3"/>
  <c r="K39" i="3" s="1"/>
  <c r="M39" i="3"/>
  <c r="N39" i="3" s="1"/>
  <c r="V39" i="3"/>
  <c r="B40" i="3"/>
  <c r="C40" i="3"/>
  <c r="E40" i="3" s="1"/>
  <c r="F40" i="3" s="1"/>
  <c r="J40" i="3"/>
  <c r="K40" i="3"/>
  <c r="M40" i="3"/>
  <c r="V40" i="3"/>
  <c r="B41" i="3"/>
  <c r="C41" i="3"/>
  <c r="E41" i="3" s="1"/>
  <c r="F41" i="3" s="1"/>
  <c r="J41" i="3"/>
  <c r="K41" i="3"/>
  <c r="M41" i="3"/>
  <c r="N41" i="3"/>
  <c r="V41" i="3"/>
  <c r="B42" i="3"/>
  <c r="C42" i="3"/>
  <c r="E42" i="3" s="1"/>
  <c r="F42" i="3" s="1"/>
  <c r="J42" i="3"/>
  <c r="K42" i="3" s="1"/>
  <c r="M42" i="3"/>
  <c r="N42" i="3"/>
  <c r="V42" i="3"/>
  <c r="V43" i="3"/>
  <c r="U44" i="3"/>
  <c r="C46" i="3"/>
  <c r="E46" i="3" s="1"/>
  <c r="J46" i="3"/>
  <c r="K46" i="3" s="1"/>
  <c r="M46" i="3"/>
  <c r="V46" i="3"/>
  <c r="C47" i="3"/>
  <c r="E47" i="3" s="1"/>
  <c r="F47" i="3" s="1"/>
  <c r="J47" i="3"/>
  <c r="K47" i="3" s="1"/>
  <c r="M47" i="3"/>
  <c r="N47" i="3"/>
  <c r="V47" i="3"/>
  <c r="C48" i="3"/>
  <c r="E48" i="3" s="1"/>
  <c r="F48" i="3" s="1"/>
  <c r="J48" i="3"/>
  <c r="K48" i="3"/>
  <c r="M48" i="3"/>
  <c r="V48" i="3"/>
  <c r="B49" i="3"/>
  <c r="C49" i="3" s="1"/>
  <c r="E49" i="3" s="1"/>
  <c r="F49" i="3" s="1"/>
  <c r="J49" i="3"/>
  <c r="K49" i="3" s="1"/>
  <c r="M49" i="3"/>
  <c r="N49" i="3" s="1"/>
  <c r="V49" i="3"/>
  <c r="B50" i="3"/>
  <c r="C50" i="3"/>
  <c r="E50" i="3" s="1"/>
  <c r="F50" i="3" s="1"/>
  <c r="J50" i="3"/>
  <c r="K50" i="3"/>
  <c r="M50" i="3"/>
  <c r="N50" i="3"/>
  <c r="B51" i="3"/>
  <c r="C51" i="3"/>
  <c r="E51" i="3" s="1"/>
  <c r="F51" i="3" s="1"/>
  <c r="U52" i="3"/>
  <c r="C55" i="3"/>
  <c r="E55" i="3" s="1"/>
  <c r="J55" i="3"/>
  <c r="K55" i="3" s="1"/>
  <c r="M55" i="3"/>
  <c r="N55" i="3" s="1"/>
  <c r="S55" i="3"/>
  <c r="T55" i="3" s="1"/>
  <c r="C56" i="3"/>
  <c r="E56" i="3" s="1"/>
  <c r="F56" i="3" s="1"/>
  <c r="J56" i="3"/>
  <c r="M56" i="3"/>
  <c r="S56" i="3"/>
  <c r="U57" i="3"/>
  <c r="V57" i="3" s="1"/>
  <c r="C61" i="3"/>
  <c r="E61" i="3" s="1"/>
  <c r="F61" i="3" s="1"/>
  <c r="J61" i="3"/>
  <c r="K61" i="3"/>
  <c r="M61" i="3"/>
  <c r="N61" i="3" s="1"/>
  <c r="C62" i="3"/>
  <c r="E62" i="3"/>
  <c r="J62" i="3"/>
  <c r="K62" i="3" s="1"/>
  <c r="M62" i="3"/>
  <c r="N62" i="3"/>
  <c r="U63" i="3"/>
  <c r="V63" i="3" s="1"/>
  <c r="S65" i="3"/>
  <c r="T65" i="3"/>
  <c r="F79" i="3"/>
  <c r="G79" i="3"/>
  <c r="C87" i="3"/>
  <c r="E87" i="3"/>
  <c r="J87" i="3"/>
  <c r="K87" i="3" s="1"/>
  <c r="M87" i="3"/>
  <c r="N87" i="3"/>
  <c r="C89" i="3"/>
  <c r="E89" i="3" s="1"/>
  <c r="F89" i="3" s="1"/>
  <c r="J89" i="3"/>
  <c r="K89" i="3" s="1"/>
  <c r="M89" i="3"/>
  <c r="N89" i="3" s="1"/>
  <c r="C91" i="3"/>
  <c r="E91" i="3" s="1"/>
  <c r="J91" i="3"/>
  <c r="K91" i="3"/>
  <c r="M91" i="3"/>
  <c r="N91" i="3"/>
  <c r="C95" i="3"/>
  <c r="E95" i="3"/>
  <c r="J95" i="3"/>
  <c r="K95" i="3"/>
  <c r="M95" i="3"/>
  <c r="N95" i="3" s="1"/>
  <c r="C97" i="3"/>
  <c r="E97" i="3" s="1"/>
  <c r="J97" i="3"/>
  <c r="K97" i="3" s="1"/>
  <c r="M97" i="3"/>
  <c r="N97" i="3" s="1"/>
  <c r="J101" i="3"/>
  <c r="M101" i="3"/>
  <c r="N101" i="3"/>
  <c r="C103" i="3"/>
  <c r="E103" i="3" s="1"/>
  <c r="F103" i="3" s="1"/>
  <c r="J103" i="3"/>
  <c r="K103" i="3" s="1"/>
  <c r="M103" i="3"/>
  <c r="N103" i="3" s="1"/>
  <c r="V105" i="3"/>
  <c r="I78" i="3" s="1"/>
  <c r="K12" i="4"/>
  <c r="N12" i="4" s="1"/>
  <c r="K13" i="4"/>
  <c r="N13" i="4" s="1"/>
  <c r="K14" i="4"/>
  <c r="N14" i="4" s="1"/>
  <c r="K15" i="4"/>
  <c r="N15" i="4" s="1"/>
  <c r="K16" i="4"/>
  <c r="N16" i="4" s="1"/>
  <c r="K17" i="4"/>
  <c r="N17" i="4" s="1"/>
  <c r="K18" i="4"/>
  <c r="N18" i="4" s="1"/>
  <c r="K19" i="4"/>
  <c r="N19" i="4" s="1"/>
  <c r="K21" i="4"/>
  <c r="N21" i="4" s="1"/>
  <c r="K22" i="4"/>
  <c r="N22" i="4" s="1"/>
  <c r="B23" i="4"/>
  <c r="C23" i="4"/>
  <c r="C24" i="4" s="1"/>
  <c r="D23" i="4"/>
  <c r="E23" i="4"/>
  <c r="E24" i="4" s="1"/>
  <c r="F23" i="4"/>
  <c r="G23" i="4"/>
  <c r="H23" i="4"/>
  <c r="I23" i="4"/>
  <c r="J23" i="4"/>
  <c r="L23" i="4"/>
  <c r="M23" i="4"/>
  <c r="K35" i="4"/>
  <c r="N35" i="4"/>
  <c r="K36" i="4"/>
  <c r="N36" i="4"/>
  <c r="K37" i="4"/>
  <c r="N37" i="4"/>
  <c r="K38" i="4"/>
  <c r="N38" i="4"/>
  <c r="K39" i="4"/>
  <c r="N39" i="4"/>
  <c r="K40" i="4"/>
  <c r="N40" i="4"/>
  <c r="K41" i="4"/>
  <c r="N41" i="4"/>
  <c r="K42" i="4"/>
  <c r="N42" i="4"/>
  <c r="K43" i="4"/>
  <c r="N43" i="4"/>
  <c r="K44" i="4"/>
  <c r="N44" i="4"/>
  <c r="B45" i="4"/>
  <c r="C45" i="4"/>
  <c r="D45" i="4"/>
  <c r="E45" i="4"/>
  <c r="E46" i="4" s="1"/>
  <c r="F45" i="4"/>
  <c r="G45" i="4"/>
  <c r="H45" i="4"/>
  <c r="I45" i="4"/>
  <c r="J45" i="4"/>
  <c r="L45" i="4"/>
  <c r="M45" i="4"/>
  <c r="D7" i="2"/>
  <c r="F7" i="2"/>
  <c r="N7" i="2"/>
  <c r="Q7" i="2"/>
  <c r="CE7" i="2" s="1"/>
  <c r="T7" i="2"/>
  <c r="AD7" i="2"/>
  <c r="AD14" i="2" s="1"/>
  <c r="BZ7" i="2"/>
  <c r="CB7" i="2"/>
  <c r="D8" i="2"/>
  <c r="F8" i="2"/>
  <c r="N8" i="2"/>
  <c r="Q8" i="2"/>
  <c r="R8" i="2" s="1"/>
  <c r="T8" i="2"/>
  <c r="BZ8" i="2"/>
  <c r="CB8" i="2"/>
  <c r="D9" i="2"/>
  <c r="F9" i="2"/>
  <c r="N9" i="2"/>
  <c r="Q9" i="2"/>
  <c r="T9" i="2"/>
  <c r="BZ9" i="2"/>
  <c r="CB9" i="2"/>
  <c r="D10" i="2"/>
  <c r="F10" i="2"/>
  <c r="N10" i="2"/>
  <c r="Q10" i="2"/>
  <c r="R10" i="2"/>
  <c r="T10" i="2"/>
  <c r="BZ10" i="2"/>
  <c r="CB10" i="2"/>
  <c r="D11" i="2"/>
  <c r="F11" i="2"/>
  <c r="N11" i="2"/>
  <c r="Q11" i="2"/>
  <c r="CE11" i="2"/>
  <c r="T11" i="2"/>
  <c r="BZ11" i="2"/>
  <c r="CB11" i="2"/>
  <c r="N12" i="2"/>
  <c r="Q12" i="2"/>
  <c r="CE12" i="2" s="1"/>
  <c r="CF12" i="2" s="1"/>
  <c r="R12" i="2"/>
  <c r="T12" i="2"/>
  <c r="BZ12" i="2"/>
  <c r="CB12" i="2"/>
  <c r="D13" i="2"/>
  <c r="F13" i="2"/>
  <c r="AN13" i="2"/>
  <c r="BY13" i="2"/>
  <c r="CC14" i="2"/>
  <c r="CA13" i="2"/>
  <c r="G14" i="2"/>
  <c r="H14" i="2" s="1"/>
  <c r="I14" i="2"/>
  <c r="J14" i="2" s="1"/>
  <c r="K14" i="2"/>
  <c r="N13" i="2"/>
  <c r="R13" i="2"/>
  <c r="T13" i="2"/>
  <c r="U14" i="2"/>
  <c r="W14" i="2"/>
  <c r="X14" i="2" s="1"/>
  <c r="Y14" i="2"/>
  <c r="Z14" i="2" s="1"/>
  <c r="AC14" i="2"/>
  <c r="BO14" i="2" s="1"/>
  <c r="AH14" i="2"/>
  <c r="AJ14" i="2"/>
  <c r="AK14" i="2"/>
  <c r="AL14" i="2" s="1"/>
  <c r="AP14" i="2"/>
  <c r="AQ14" i="2"/>
  <c r="AR14" i="2" s="1"/>
  <c r="BJ14" i="2"/>
  <c r="BQ14" i="2"/>
  <c r="BR14" i="2"/>
  <c r="W15" i="2"/>
  <c r="X15" i="2" s="1"/>
  <c r="C22" i="2"/>
  <c r="D22" i="2"/>
  <c r="D25" i="2" s="1"/>
  <c r="C25" i="2"/>
  <c r="C28" i="2"/>
  <c r="D28" i="2"/>
  <c r="C40" i="2"/>
  <c r="D40" i="2"/>
  <c r="D49" i="2"/>
  <c r="F49" i="2"/>
  <c r="N49" i="2"/>
  <c r="R49" i="2"/>
  <c r="T49" i="2"/>
  <c r="AT49" i="2"/>
  <c r="D50" i="2"/>
  <c r="F50" i="2"/>
  <c r="N50" i="2"/>
  <c r="R50" i="2"/>
  <c r="T50" i="2"/>
  <c r="AT50" i="2"/>
  <c r="D51" i="2"/>
  <c r="F51" i="2"/>
  <c r="N51" i="2"/>
  <c r="T51" i="2"/>
  <c r="D53" i="2"/>
  <c r="F53" i="2"/>
  <c r="H54" i="2"/>
  <c r="T53" i="2"/>
  <c r="U54" i="2"/>
  <c r="W54" i="2"/>
  <c r="X54" i="2"/>
  <c r="AH54" i="2"/>
  <c r="AJ54" i="2"/>
  <c r="AK54" i="2"/>
  <c r="AL54" i="2"/>
  <c r="AT53" i="2"/>
  <c r="AU54" i="2"/>
  <c r="AV54" i="2" s="1"/>
  <c r="BJ54" i="2"/>
  <c r="BO54" i="2"/>
  <c r="BQ54" i="2"/>
  <c r="BR54" i="2"/>
  <c r="W55" i="2"/>
  <c r="X55" i="2" s="1"/>
  <c r="AB55" i="2" s="1"/>
  <c r="C62" i="2"/>
  <c r="D62" i="2"/>
  <c r="D66" i="2" s="1"/>
  <c r="C69" i="2"/>
  <c r="D69" i="2"/>
  <c r="C81" i="2"/>
  <c r="D81" i="2"/>
  <c r="BK138" i="2"/>
  <c r="AW138" i="2"/>
  <c r="C157" i="2"/>
  <c r="W233" i="3"/>
  <c r="F342" i="3"/>
  <c r="M312" i="3"/>
  <c r="AL131" i="2"/>
  <c r="AL138" i="2" s="1"/>
  <c r="L131" i="2"/>
  <c r="U138" i="2"/>
  <c r="C162" i="2" s="1"/>
  <c r="G138" i="2"/>
  <c r="H138" i="2" s="1"/>
  <c r="S264" i="3"/>
  <c r="F260" i="3"/>
  <c r="T253" i="3"/>
  <c r="T258" i="3" s="1"/>
  <c r="M206" i="3"/>
  <c r="S37" i="3"/>
  <c r="T37" i="3"/>
  <c r="V182" i="3"/>
  <c r="T155" i="3"/>
  <c r="T156" i="3" s="1"/>
  <c r="E138" i="3"/>
  <c r="F138" i="3" s="1"/>
  <c r="C158" i="4"/>
  <c r="D158" i="4"/>
  <c r="E157" i="4"/>
  <c r="E71" i="4"/>
  <c r="F58" i="6"/>
  <c r="F71" i="6"/>
  <c r="K33" i="6"/>
  <c r="Q33" i="6"/>
  <c r="K71" i="6"/>
  <c r="O71" i="6"/>
  <c r="K58" i="6"/>
  <c r="E264" i="5"/>
  <c r="D315" i="5"/>
  <c r="S282" i="5"/>
  <c r="R290" i="5"/>
  <c r="S298" i="5"/>
  <c r="S303" i="5"/>
  <c r="U313" i="5"/>
  <c r="P314" i="5"/>
  <c r="F314" i="5"/>
  <c r="U274" i="5"/>
  <c r="W274" i="5"/>
  <c r="Q277" i="5"/>
  <c r="S284" i="5"/>
  <c r="W284" i="5"/>
  <c r="Q287" i="5"/>
  <c r="S289" i="5"/>
  <c r="W289" i="5"/>
  <c r="T290" i="5"/>
  <c r="U290" i="5" s="1"/>
  <c r="Q298" i="5"/>
  <c r="S300" i="5"/>
  <c r="W300" i="5"/>
  <c r="S307" i="5"/>
  <c r="W307" i="5"/>
  <c r="Q310" i="5"/>
  <c r="W313" i="5"/>
  <c r="Q313" i="5"/>
  <c r="S279" i="5"/>
  <c r="Q274" i="5"/>
  <c r="S274" i="5"/>
  <c r="U220" i="5"/>
  <c r="U228" i="5"/>
  <c r="W148" i="5"/>
  <c r="V165" i="5"/>
  <c r="L165" i="5"/>
  <c r="H263" i="5"/>
  <c r="L263" i="5"/>
  <c r="Q218" i="5"/>
  <c r="U218" i="5"/>
  <c r="S225" i="5"/>
  <c r="W225" i="5"/>
  <c r="S228" i="5"/>
  <c r="W228" i="5"/>
  <c r="R263" i="5"/>
  <c r="V263" i="5"/>
  <c r="Q243" i="5"/>
  <c r="U243" i="5"/>
  <c r="Q248" i="5"/>
  <c r="Q252" i="5"/>
  <c r="U252" i="5"/>
  <c r="Q256" i="5"/>
  <c r="U256" i="5"/>
  <c r="Q260" i="5"/>
  <c r="U260" i="5"/>
  <c r="S218" i="5"/>
  <c r="W218" i="5"/>
  <c r="S222" i="5"/>
  <c r="W222" i="5"/>
  <c r="S227" i="5"/>
  <c r="W227" i="5"/>
  <c r="S230" i="5"/>
  <c r="W230" i="5"/>
  <c r="S234" i="5"/>
  <c r="W234" i="5"/>
  <c r="P239" i="5"/>
  <c r="T239" i="5"/>
  <c r="S245" i="5"/>
  <c r="W245" i="5"/>
  <c r="S250" i="5"/>
  <c r="W250" i="5"/>
  <c r="S254" i="5"/>
  <c r="W254" i="5"/>
  <c r="S262" i="5"/>
  <c r="W262" i="5"/>
  <c r="P263" i="5"/>
  <c r="Q263" i="5" s="1"/>
  <c r="T263" i="5"/>
  <c r="U263" i="5" s="1"/>
  <c r="Q127" i="5"/>
  <c r="Q135" i="5"/>
  <c r="Q141" i="5"/>
  <c r="P165" i="5"/>
  <c r="T165" i="5"/>
  <c r="S220" i="5"/>
  <c r="W220" i="5"/>
  <c r="Q222" i="5"/>
  <c r="U222" i="5"/>
  <c r="Q227" i="5"/>
  <c r="U227" i="5"/>
  <c r="Q230" i="5"/>
  <c r="U230" i="5"/>
  <c r="S232" i="5"/>
  <c r="W232" i="5"/>
  <c r="Q234" i="5"/>
  <c r="U234" i="5"/>
  <c r="S243" i="5"/>
  <c r="W243" i="5"/>
  <c r="Q245" i="5"/>
  <c r="U245" i="5"/>
  <c r="Q250" i="5"/>
  <c r="U250" i="5"/>
  <c r="S252" i="5"/>
  <c r="W252" i="5"/>
  <c r="Q254" i="5"/>
  <c r="U254" i="5"/>
  <c r="S256" i="5"/>
  <c r="W256" i="5"/>
  <c r="S260" i="5"/>
  <c r="W260" i="5"/>
  <c r="Q262" i="5"/>
  <c r="U262" i="5"/>
  <c r="O263" i="5"/>
  <c r="S263" i="5"/>
  <c r="Q258" i="5"/>
  <c r="S258" i="5"/>
  <c r="U258" i="5"/>
  <c r="S248" i="5"/>
  <c r="U248" i="5"/>
  <c r="Q241" i="5"/>
  <c r="S241" i="5"/>
  <c r="U241" i="5"/>
  <c r="S238" i="5"/>
  <c r="W238" i="5"/>
  <c r="Q236" i="5"/>
  <c r="S236" i="5"/>
  <c r="U236" i="5"/>
  <c r="U127" i="5"/>
  <c r="U141" i="5"/>
  <c r="R144" i="5"/>
  <c r="V144" i="5"/>
  <c r="W144" i="5" s="1"/>
  <c r="S127" i="5"/>
  <c r="S135" i="5"/>
  <c r="W135" i="5"/>
  <c r="Q139" i="5"/>
  <c r="U139" i="5"/>
  <c r="S141" i="5"/>
  <c r="W141" i="5"/>
  <c r="P144" i="5"/>
  <c r="Q144" i="5" s="1"/>
  <c r="T144" i="5"/>
  <c r="S131" i="5"/>
  <c r="W131" i="5"/>
  <c r="Q152" i="5"/>
  <c r="U152" i="5"/>
  <c r="Q160" i="5"/>
  <c r="U160" i="5"/>
  <c r="Q164" i="5"/>
  <c r="U164" i="5"/>
  <c r="W127" i="5"/>
  <c r="Q131" i="5"/>
  <c r="U131" i="5"/>
  <c r="U135" i="5"/>
  <c r="S139" i="5"/>
  <c r="W139" i="5"/>
  <c r="Q148" i="5"/>
  <c r="S152" i="5"/>
  <c r="W152" i="5"/>
  <c r="S160" i="5"/>
  <c r="W160" i="5"/>
  <c r="S164" i="5"/>
  <c r="W164" i="5"/>
  <c r="O144" i="5"/>
  <c r="H165" i="5"/>
  <c r="F165" i="5"/>
  <c r="J165" i="5"/>
  <c r="Q162" i="5"/>
  <c r="S162" i="5"/>
  <c r="U162" i="5"/>
  <c r="Q156" i="5"/>
  <c r="S156" i="5"/>
  <c r="U156" i="5"/>
  <c r="S148" i="5"/>
  <c r="U148" i="5"/>
  <c r="Q143" i="5"/>
  <c r="S143" i="5"/>
  <c r="U143" i="5"/>
  <c r="F162" i="7"/>
  <c r="F163" i="7" s="1"/>
  <c r="K162" i="7"/>
  <c r="K163" i="7" s="1"/>
  <c r="E162" i="7"/>
  <c r="E163" i="7" s="1"/>
  <c r="J162" i="7"/>
  <c r="J163" i="7" s="1"/>
  <c r="N162" i="7"/>
  <c r="N163" i="7" s="1"/>
  <c r="Q186" i="5"/>
  <c r="R32" i="5"/>
  <c r="W177" i="5"/>
  <c r="P190" i="5"/>
  <c r="Q190" i="5" s="1"/>
  <c r="Q113" i="5"/>
  <c r="Q106" i="5"/>
  <c r="U177" i="5"/>
  <c r="U186" i="5"/>
  <c r="H207" i="5"/>
  <c r="P90" i="5"/>
  <c r="J57" i="5"/>
  <c r="F57" i="5"/>
  <c r="U52" i="5"/>
  <c r="U36" i="5"/>
  <c r="U31" i="5"/>
  <c r="U23" i="5"/>
  <c r="F207" i="5"/>
  <c r="J207" i="5"/>
  <c r="R190" i="5"/>
  <c r="V190" i="5"/>
  <c r="W190" i="5" s="1"/>
  <c r="O207" i="5"/>
  <c r="BS54" i="2"/>
  <c r="BS14" i="2"/>
  <c r="U11" i="5"/>
  <c r="Q177" i="5"/>
  <c r="S177" i="5"/>
  <c r="Q183" i="5"/>
  <c r="U183" i="5"/>
  <c r="W186" i="5"/>
  <c r="Q189" i="5"/>
  <c r="U189" i="5"/>
  <c r="Q194" i="5"/>
  <c r="U194" i="5"/>
  <c r="P207" i="5"/>
  <c r="T207" i="5"/>
  <c r="U207" i="5" s="1"/>
  <c r="S183" i="5"/>
  <c r="W183" i="5"/>
  <c r="S189" i="5"/>
  <c r="W189" i="5"/>
  <c r="T190" i="5"/>
  <c r="U190" i="5"/>
  <c r="S194" i="5"/>
  <c r="W194" i="5"/>
  <c r="R207" i="5"/>
  <c r="V207" i="5"/>
  <c r="W207" i="5" s="1"/>
  <c r="AA15" i="2"/>
  <c r="AB15" i="2" s="1"/>
  <c r="AV138" i="2"/>
  <c r="R131" i="2"/>
  <c r="R134" i="2"/>
  <c r="CF131" i="2"/>
  <c r="R132" i="2"/>
  <c r="R135" i="2"/>
  <c r="O23" i="6"/>
  <c r="Q206" i="5"/>
  <c r="S206" i="5"/>
  <c r="U206" i="5"/>
  <c r="Q203" i="5"/>
  <c r="S203" i="5"/>
  <c r="U203" i="5"/>
  <c r="Q200" i="5"/>
  <c r="S200" i="5"/>
  <c r="Q197" i="5"/>
  <c r="S197" i="5"/>
  <c r="U197" i="5"/>
  <c r="Q180" i="5"/>
  <c r="S180" i="5"/>
  <c r="U180" i="5"/>
  <c r="U98" i="5"/>
  <c r="O57" i="5"/>
  <c r="T114" i="5"/>
  <c r="U109" i="5"/>
  <c r="R90" i="5"/>
  <c r="U85" i="5"/>
  <c r="Q85" i="5"/>
  <c r="U76" i="5"/>
  <c r="Q76" i="5"/>
  <c r="Q69" i="5"/>
  <c r="U48" i="5"/>
  <c r="U40" i="5"/>
  <c r="Q36" i="5"/>
  <c r="U19" i="5"/>
  <c r="Q15" i="5"/>
  <c r="S11" i="5"/>
  <c r="Q98" i="5"/>
  <c r="J114" i="5"/>
  <c r="F114" i="5"/>
  <c r="U102" i="5"/>
  <c r="Q94" i="5"/>
  <c r="U80" i="5"/>
  <c r="K44" i="6"/>
  <c r="Q44" i="6"/>
  <c r="O44" i="6"/>
  <c r="BL54" i="2"/>
  <c r="C19" i="2"/>
  <c r="R7" i="2"/>
  <c r="CE10" i="2"/>
  <c r="CF10" i="2" s="1"/>
  <c r="BB54" i="2"/>
  <c r="CG54" i="2"/>
  <c r="C68" i="2" s="1"/>
  <c r="W263" i="5"/>
  <c r="D116" i="5"/>
  <c r="D117" i="5" s="1"/>
  <c r="Q225" i="5"/>
  <c r="B158" i="4"/>
  <c r="AQ220" i="2"/>
  <c r="F286" i="3"/>
  <c r="G286" i="3"/>
  <c r="N338" i="3"/>
  <c r="T320" i="3"/>
  <c r="W217" i="2"/>
  <c r="X217" i="2"/>
  <c r="R217" i="2"/>
  <c r="W215" i="2"/>
  <c r="X215" i="2" s="1"/>
  <c r="R215" i="2"/>
  <c r="W216" i="2"/>
  <c r="X216" i="2"/>
  <c r="R216" i="2"/>
  <c r="R214" i="2"/>
  <c r="W214" i="2"/>
  <c r="AA220" i="2"/>
  <c r="AA221" i="2" s="1"/>
  <c r="C225" i="2" s="1"/>
  <c r="AJ138" i="2"/>
  <c r="D120" i="2"/>
  <c r="C120" i="2"/>
  <c r="L54" i="2"/>
  <c r="C20" i="2"/>
  <c r="BK220" i="2"/>
  <c r="BO220" i="2" s="1"/>
  <c r="BR220" i="2"/>
  <c r="AL89" i="2"/>
  <c r="AL93" i="2"/>
  <c r="BL214" i="2"/>
  <c r="BL220" i="2" s="1"/>
  <c r="BQ220" i="2"/>
  <c r="DD220" i="2"/>
  <c r="C247" i="2"/>
  <c r="L214" i="2"/>
  <c r="K220" i="2"/>
  <c r="L220" i="2" s="1"/>
  <c r="C237" i="2"/>
  <c r="BJ177" i="2"/>
  <c r="CC220" i="2"/>
  <c r="CG220" i="2"/>
  <c r="AA90" i="2"/>
  <c r="AB90" i="2"/>
  <c r="AB93" i="2" s="1"/>
  <c r="BJ220" i="2"/>
  <c r="AH220" i="2"/>
  <c r="U220" i="2"/>
  <c r="AK220" i="2"/>
  <c r="BS220" i="2"/>
  <c r="D41" i="2"/>
  <c r="S301" i="3"/>
  <c r="N312" i="3"/>
  <c r="N344" i="3"/>
  <c r="T264" i="3"/>
  <c r="E273" i="3"/>
  <c r="S21" i="3"/>
  <c r="M136" i="3"/>
  <c r="M178" i="3"/>
  <c r="E251" i="3"/>
  <c r="S320" i="3"/>
  <c r="M323" i="3"/>
  <c r="S148" i="3"/>
  <c r="M192" i="3"/>
  <c r="M182" i="3"/>
  <c r="S198" i="3"/>
  <c r="S332" i="3"/>
  <c r="M344" i="3"/>
  <c r="M262" i="3"/>
  <c r="M274" i="3" s="1"/>
  <c r="E220" i="3"/>
  <c r="V147" i="3"/>
  <c r="V158" i="3"/>
  <c r="E268" i="3"/>
  <c r="T301" i="3"/>
  <c r="V330" i="3"/>
  <c r="W220" i="3"/>
  <c r="M172" i="3"/>
  <c r="N172" i="3" s="1"/>
  <c r="I220" i="3"/>
  <c r="E255" i="3"/>
  <c r="S258" i="3"/>
  <c r="U233" i="3"/>
  <c r="U21" i="3"/>
  <c r="J44" i="3"/>
  <c r="K44" i="3" s="1"/>
  <c r="J92" i="3"/>
  <c r="M151" i="3"/>
  <c r="S188" i="3"/>
  <c r="M160" i="3"/>
  <c r="N160" i="3" s="1"/>
  <c r="M167" i="3"/>
  <c r="S182" i="3"/>
  <c r="S209" i="3"/>
  <c r="J52" i="3"/>
  <c r="K52" i="3"/>
  <c r="S205" i="3"/>
  <c r="F253" i="3"/>
  <c r="F255" i="3" s="1"/>
  <c r="M197" i="3"/>
  <c r="M338" i="3"/>
  <c r="S346" i="3"/>
  <c r="S312" i="3"/>
  <c r="U347" i="3"/>
  <c r="N171" i="3"/>
  <c r="M104" i="3"/>
  <c r="J63" i="3"/>
  <c r="K63" i="3"/>
  <c r="M63" i="3"/>
  <c r="N63" i="3" s="1"/>
  <c r="M92" i="3"/>
  <c r="G220" i="3"/>
  <c r="M302" i="3"/>
  <c r="U78" i="3"/>
  <c r="S78" i="3"/>
  <c r="U274" i="3"/>
  <c r="T346" i="3"/>
  <c r="T148" i="3"/>
  <c r="T188" i="3"/>
  <c r="F242" i="3"/>
  <c r="F246" i="3"/>
  <c r="E246" i="3"/>
  <c r="V244" i="3"/>
  <c r="V255" i="3"/>
  <c r="V263" i="3"/>
  <c r="N323" i="3"/>
  <c r="T332" i="3"/>
  <c r="V319" i="3"/>
  <c r="U209" i="3"/>
  <c r="F251" i="3"/>
  <c r="N151" i="3"/>
  <c r="E313" i="3"/>
  <c r="F309" i="3"/>
  <c r="F313" i="3" s="1"/>
  <c r="F295" i="3"/>
  <c r="E306" i="3"/>
  <c r="F318" i="3"/>
  <c r="E324" i="3"/>
  <c r="F327" i="3"/>
  <c r="F339" i="3" s="1"/>
  <c r="E339" i="3"/>
  <c r="F345" i="3"/>
  <c r="E346" i="3"/>
  <c r="V297" i="3"/>
  <c r="J37" i="3"/>
  <c r="K37" i="3" s="1"/>
  <c r="T312" i="3"/>
  <c r="U121" i="3"/>
  <c r="K23" i="4"/>
  <c r="I25" i="4" s="1"/>
  <c r="K143" i="4"/>
  <c r="G46" i="4"/>
  <c r="C115" i="4"/>
  <c r="K114" i="4"/>
  <c r="N57" i="4"/>
  <c r="E144" i="4"/>
  <c r="G157" i="4"/>
  <c r="Q71" i="6"/>
  <c r="Q70" i="6"/>
  <c r="O70" i="6"/>
  <c r="K70" i="6"/>
  <c r="E209" i="5"/>
  <c r="W156" i="5"/>
  <c r="Q284" i="5"/>
  <c r="Q300" i="5"/>
  <c r="S190" i="5"/>
  <c r="Q220" i="5"/>
  <c r="W236" i="5"/>
  <c r="V314" i="5"/>
  <c r="F263" i="5"/>
  <c r="V290" i="5"/>
  <c r="W290" i="5" s="1"/>
  <c r="Q294" i="5"/>
  <c r="Q307" i="5"/>
  <c r="T314" i="5"/>
  <c r="U314" i="5" s="1"/>
  <c r="W162" i="5"/>
  <c r="D166" i="5"/>
  <c r="E166" i="5"/>
  <c r="E167" i="5"/>
  <c r="D264" i="5"/>
  <c r="R239" i="5"/>
  <c r="Q228" i="5"/>
  <c r="W241" i="5"/>
  <c r="W258" i="5"/>
  <c r="E316" i="5"/>
  <c r="F316" i="5" s="1"/>
  <c r="W279" i="5"/>
  <c r="U284" i="5"/>
  <c r="U289" i="5"/>
  <c r="W294" i="5"/>
  <c r="U300" i="5"/>
  <c r="U307" i="5"/>
  <c r="D59" i="5"/>
  <c r="D60" i="5" s="1"/>
  <c r="W109" i="5"/>
  <c r="W94" i="5"/>
  <c r="W76" i="5"/>
  <c r="W143" i="5"/>
  <c r="J263" i="5"/>
  <c r="W248" i="5"/>
  <c r="O290" i="5"/>
  <c r="O314" i="5"/>
  <c r="I162" i="7"/>
  <c r="I163" i="7" s="1"/>
  <c r="L162" i="7"/>
  <c r="L163" i="7" s="1"/>
  <c r="G162" i="7"/>
  <c r="G163" i="7" s="1"/>
  <c r="M162" i="7"/>
  <c r="M163" i="7" s="1"/>
  <c r="H162" i="7"/>
  <c r="H163" i="7" s="1"/>
  <c r="D162" i="7"/>
  <c r="D163" i="7" s="1"/>
  <c r="C162" i="7"/>
  <c r="C163" i="7" s="1"/>
  <c r="AR216" i="2"/>
  <c r="D239" i="2"/>
  <c r="CB13" i="2"/>
  <c r="BK136" i="2"/>
  <c r="BL136" i="2"/>
  <c r="BO177" i="2"/>
  <c r="AP93" i="2"/>
  <c r="W138" i="2"/>
  <c r="V138" i="2"/>
  <c r="R11" i="2"/>
  <c r="C60" i="2"/>
  <c r="D60" i="2" s="1"/>
  <c r="E60" i="2" s="1"/>
  <c r="CB53" i="2"/>
  <c r="BL131" i="2"/>
  <c r="X131" i="2"/>
  <c r="BQ138" i="2"/>
  <c r="BL14" i="2"/>
  <c r="AR138" i="2"/>
  <c r="AP138" i="2"/>
  <c r="AQ138" i="2"/>
  <c r="CW186" i="2"/>
  <c r="CX186" i="2" s="1"/>
  <c r="AJ177" i="2"/>
  <c r="BR177" i="2"/>
  <c r="V93" i="2"/>
  <c r="BS93" i="2"/>
  <c r="CJ89" i="2"/>
  <c r="CJ93" i="2" s="1"/>
  <c r="L175" i="2"/>
  <c r="AX138" i="2"/>
  <c r="AQ93" i="2"/>
  <c r="C99" i="2" s="1"/>
  <c r="D99" i="2" s="1"/>
  <c r="AR90" i="2"/>
  <c r="AR93" i="2" s="1"/>
  <c r="AW54" i="2"/>
  <c r="AX54" i="2" s="1"/>
  <c r="C74" i="2" s="1"/>
  <c r="CT54" i="2"/>
  <c r="D65" i="2" s="1"/>
  <c r="AK138" i="2"/>
  <c r="AA139" i="2"/>
  <c r="C143" i="2" s="1"/>
  <c r="X174" i="2"/>
  <c r="AA175" i="2"/>
  <c r="AB175" i="2"/>
  <c r="D82" i="2"/>
  <c r="U93" i="2"/>
  <c r="C117" i="2" s="1"/>
  <c r="W90" i="2"/>
  <c r="X90" i="2" s="1"/>
  <c r="K91" i="2"/>
  <c r="L91" i="2" s="1"/>
  <c r="CE90" i="2"/>
  <c r="CG90" i="2" s="1"/>
  <c r="CH90" i="2" s="1"/>
  <c r="CH54" i="2"/>
  <c r="C165" i="2"/>
  <c r="BR93" i="2"/>
  <c r="K90" i="2"/>
  <c r="L90" i="2" s="1"/>
  <c r="CC90" i="2"/>
  <c r="CD90" i="2" s="1"/>
  <c r="CG91" i="2"/>
  <c r="CH91" i="2" s="1"/>
  <c r="X89" i="2"/>
  <c r="K89" i="2"/>
  <c r="L89" i="2" s="1"/>
  <c r="CE89" i="2"/>
  <c r="CG89" i="2" s="1"/>
  <c r="CC89" i="2"/>
  <c r="F87" i="3"/>
  <c r="F31" i="3"/>
  <c r="S290" i="5"/>
  <c r="F181" i="3"/>
  <c r="F202" i="3"/>
  <c r="F62" i="3"/>
  <c r="F101" i="3"/>
  <c r="F139" i="3"/>
  <c r="F164" i="3"/>
  <c r="F176" i="3"/>
  <c r="F196" i="3"/>
  <c r="U177" i="2"/>
  <c r="C203" i="2" s="1"/>
  <c r="D203" i="2" s="1"/>
  <c r="V172" i="2"/>
  <c r="V177" i="2"/>
  <c r="X173" i="2"/>
  <c r="AA173" i="2"/>
  <c r="CX7" i="2"/>
  <c r="C206" i="2"/>
  <c r="BS177" i="2"/>
  <c r="H57" i="5"/>
  <c r="R314" i="5"/>
  <c r="F170" i="3"/>
  <c r="F173" i="3" s="1"/>
  <c r="S121" i="3"/>
  <c r="AL175" i="2"/>
  <c r="CE138" i="2"/>
  <c r="CG138" i="2" s="1"/>
  <c r="K134" i="2"/>
  <c r="L134" i="2" s="1"/>
  <c r="K132" i="2"/>
  <c r="L132" i="2" s="1"/>
  <c r="W177" i="2"/>
  <c r="X172" i="2"/>
  <c r="X177" i="2"/>
  <c r="AA172" i="2"/>
  <c r="AB172" i="2" s="1"/>
  <c r="N176" i="2"/>
  <c r="AK176" i="2"/>
  <c r="AK177" i="2" s="1"/>
  <c r="CF173" i="2"/>
  <c r="CE187" i="2"/>
  <c r="CW10" i="2"/>
  <c r="CV10" i="2"/>
  <c r="CW137" i="2"/>
  <c r="CX132" i="2"/>
  <c r="CX137" i="2" s="1"/>
  <c r="U294" i="5"/>
  <c r="C41" i="2"/>
  <c r="D165" i="2"/>
  <c r="AB220" i="2"/>
  <c r="T347" i="3"/>
  <c r="D20" i="2"/>
  <c r="CD89" i="2"/>
  <c r="CC93" i="2"/>
  <c r="CD220" i="2"/>
  <c r="AA93" i="2"/>
  <c r="C98" i="2"/>
  <c r="V209" i="3"/>
  <c r="V347" i="3"/>
  <c r="N302" i="3"/>
  <c r="N347" i="3" s="1"/>
  <c r="V274" i="3"/>
  <c r="N23" i="4"/>
  <c r="I26" i="4" s="1"/>
  <c r="N114" i="4"/>
  <c r="L117" i="4" s="1"/>
  <c r="F116" i="4"/>
  <c r="C165" i="7"/>
  <c r="C166" i="7" s="1"/>
  <c r="W93" i="2"/>
  <c r="CW187" i="2"/>
  <c r="CX187" i="2" s="1"/>
  <c r="K93" i="2"/>
  <c r="L93" i="2" s="1"/>
  <c r="C110" i="2"/>
  <c r="AL176" i="2"/>
  <c r="K138" i="2"/>
  <c r="C155" i="2" s="1"/>
  <c r="CF138" i="2"/>
  <c r="D26" i="4"/>
  <c r="L26" i="4"/>
  <c r="B117" i="4"/>
  <c r="DG14" i="2"/>
  <c r="I117" i="4"/>
  <c r="CX10" i="2"/>
  <c r="CE93" i="2"/>
  <c r="CF89" i="2"/>
  <c r="CH89" i="2"/>
  <c r="E165" i="7"/>
  <c r="E166" i="7" s="1"/>
  <c r="D165" i="7"/>
  <c r="D166" i="7" s="1"/>
  <c r="I116" i="4"/>
  <c r="X214" i="2"/>
  <c r="AR220" i="2"/>
  <c r="C226" i="2"/>
  <c r="D226" i="2"/>
  <c r="BP138" i="2"/>
  <c r="BL138" i="2"/>
  <c r="BS138" i="2"/>
  <c r="BO138" i="2"/>
  <c r="C66" i="2"/>
  <c r="V54" i="2"/>
  <c r="C79" i="2"/>
  <c r="F26" i="4"/>
  <c r="F95" i="3"/>
  <c r="N56" i="3"/>
  <c r="M57" i="3"/>
  <c r="N57" i="3" s="1"/>
  <c r="E57" i="3"/>
  <c r="F57" i="3" s="1"/>
  <c r="F55" i="3"/>
  <c r="N46" i="3"/>
  <c r="E52" i="3"/>
  <c r="F52" i="3" s="1"/>
  <c r="F46" i="3"/>
  <c r="N40" i="3"/>
  <c r="M44" i="3"/>
  <c r="N44" i="3" s="1"/>
  <c r="N34" i="3"/>
  <c r="M37" i="3"/>
  <c r="E115" i="5"/>
  <c r="E347" i="3"/>
  <c r="E274" i="3"/>
  <c r="Q314" i="5"/>
  <c r="J25" i="4"/>
  <c r="N104" i="3"/>
  <c r="N98" i="3"/>
  <c r="K92" i="3"/>
  <c r="U64" i="3"/>
  <c r="V64" i="3" s="1"/>
  <c r="E37" i="3"/>
  <c r="O10" i="6"/>
  <c r="AB173" i="2"/>
  <c r="S314" i="5"/>
  <c r="W314" i="5"/>
  <c r="E168" i="5"/>
  <c r="F166" i="5"/>
  <c r="C244" i="2"/>
  <c r="F243" i="2" s="1"/>
  <c r="V220" i="2"/>
  <c r="D19" i="2"/>
  <c r="C29" i="2"/>
  <c r="D29" i="2" s="1"/>
  <c r="CE9" i="2"/>
  <c r="CF9" i="2" s="1"/>
  <c r="R9" i="2"/>
  <c r="CF7" i="2"/>
  <c r="K101" i="3"/>
  <c r="K104" i="3" s="1"/>
  <c r="J104" i="3"/>
  <c r="T56" i="3"/>
  <c r="S57" i="3"/>
  <c r="S64" i="3" s="1"/>
  <c r="K56" i="3"/>
  <c r="J57" i="3"/>
  <c r="K57" i="3"/>
  <c r="F144" i="3"/>
  <c r="F153" i="3" s="1"/>
  <c r="E153" i="3"/>
  <c r="CG93" i="2"/>
  <c r="C106" i="2"/>
  <c r="M347" i="3"/>
  <c r="S207" i="5"/>
  <c r="Q207" i="5"/>
  <c r="F346" i="3"/>
  <c r="E63" i="3"/>
  <c r="F63" i="3"/>
  <c r="V52" i="3"/>
  <c r="F22" i="3"/>
  <c r="E210" i="5"/>
  <c r="BH220" i="2"/>
  <c r="DG220" i="2"/>
  <c r="DF220" i="2"/>
  <c r="W69" i="5"/>
  <c r="S274" i="3"/>
  <c r="S73" i="5"/>
  <c r="V32" i="5"/>
  <c r="R57" i="5"/>
  <c r="S57" i="5" s="1"/>
  <c r="V57" i="5"/>
  <c r="W57" i="5" s="1"/>
  <c r="U69" i="5"/>
  <c r="Q109" i="5"/>
  <c r="P32" i="5"/>
  <c r="R114" i="5"/>
  <c r="V114" i="5"/>
  <c r="E266" i="5"/>
  <c r="F266" i="5"/>
  <c r="M98" i="3"/>
  <c r="M105" i="3" s="1"/>
  <c r="N105" i="3" s="1"/>
  <c r="J98" i="3"/>
  <c r="K99" i="7"/>
  <c r="K100" i="7" s="1"/>
  <c r="F99" i="7"/>
  <c r="F100" i="7" s="1"/>
  <c r="L99" i="7"/>
  <c r="L100" i="7" s="1"/>
  <c r="D99" i="7"/>
  <c r="D100" i="7" s="1"/>
  <c r="N99" i="7"/>
  <c r="N100" i="7" s="1"/>
  <c r="G99" i="7"/>
  <c r="G100" i="7" s="1"/>
  <c r="D243" i="2"/>
  <c r="BH177" i="2"/>
  <c r="F185" i="3"/>
  <c r="F194" i="3" s="1"/>
  <c r="E46" i="7"/>
  <c r="H46" i="7"/>
  <c r="I46" i="7"/>
  <c r="J46" i="7"/>
  <c r="M46" i="7"/>
  <c r="D244" i="2"/>
  <c r="E246" i="2" s="1"/>
  <c r="F37" i="3"/>
  <c r="T57" i="3"/>
  <c r="C34" i="2"/>
  <c r="D34" i="2" s="1"/>
  <c r="N37" i="3"/>
  <c r="D79" i="2"/>
  <c r="E78" i="2" s="1"/>
  <c r="D162" i="2"/>
  <c r="E161" i="2" s="1"/>
  <c r="E148" i="2"/>
  <c r="D157" i="2"/>
  <c r="M117" i="4"/>
  <c r="H117" i="4"/>
  <c r="CF90" i="2"/>
  <c r="CF93" i="2" s="1"/>
  <c r="Q102" i="5"/>
  <c r="Q40" i="5"/>
  <c r="H97" i="7"/>
  <c r="C99" i="7"/>
  <c r="C100" i="7" s="1"/>
  <c r="E144" i="2"/>
  <c r="G183" i="4"/>
  <c r="L158" i="4"/>
  <c r="C159" i="4"/>
  <c r="H116" i="4"/>
  <c r="J117" i="4"/>
  <c r="N143" i="4"/>
  <c r="D117" i="4"/>
  <c r="H25" i="4"/>
  <c r="D25" i="4"/>
  <c r="H26" i="4"/>
  <c r="M26" i="4"/>
  <c r="F25" i="4"/>
  <c r="J116" i="4"/>
  <c r="F117" i="4"/>
  <c r="B26" i="4"/>
  <c r="J26" i="4"/>
  <c r="B25" i="4"/>
  <c r="N70" i="4"/>
  <c r="J73" i="4" s="1"/>
  <c r="K70" i="4"/>
  <c r="N170" i="4"/>
  <c r="N182" i="4" s="1"/>
  <c r="F185" i="4" s="1"/>
  <c r="G144" i="4"/>
  <c r="K45" i="4"/>
  <c r="J47" i="4" s="1"/>
  <c r="K156" i="4"/>
  <c r="K158" i="4" s="1"/>
  <c r="G158" i="4"/>
  <c r="G159" i="4" s="1"/>
  <c r="I158" i="4"/>
  <c r="N156" i="4"/>
  <c r="N158" i="4"/>
  <c r="H161" i="4" s="1"/>
  <c r="M185" i="4"/>
  <c r="L185" i="4"/>
  <c r="K117" i="4"/>
  <c r="N117" i="4"/>
  <c r="G71" i="4"/>
  <c r="C46" i="4"/>
  <c r="G24" i="4"/>
  <c r="C183" i="4"/>
  <c r="C227" i="2"/>
  <c r="D225" i="2"/>
  <c r="X218" i="2"/>
  <c r="W220" i="2"/>
  <c r="X220" i="2" s="1"/>
  <c r="D110" i="2"/>
  <c r="C114" i="2"/>
  <c r="D114" i="2"/>
  <c r="C241" i="2"/>
  <c r="D241" i="2" s="1"/>
  <c r="E241" i="2" s="1"/>
  <c r="D237" i="2"/>
  <c r="F237" i="2"/>
  <c r="E237" i="2"/>
  <c r="BL177" i="2"/>
  <c r="D206" i="2"/>
  <c r="E65" i="2"/>
  <c r="AL220" i="2"/>
  <c r="E184" i="2"/>
  <c r="E189" i="2"/>
  <c r="E188" i="2"/>
  <c r="E202" i="2"/>
  <c r="E205" i="2"/>
  <c r="E198" i="2"/>
  <c r="L172" i="2"/>
  <c r="K177" i="2"/>
  <c r="C196" i="2" s="1"/>
  <c r="C108" i="2"/>
  <c r="D98" i="2"/>
  <c r="C100" i="2"/>
  <c r="D100" i="2" s="1"/>
  <c r="E100" i="2" s="1"/>
  <c r="C73" i="2"/>
  <c r="D68" i="2"/>
  <c r="E68" i="2" s="1"/>
  <c r="CD14" i="2"/>
  <c r="CF11" i="2"/>
  <c r="C64" i="2"/>
  <c r="BD54" i="2"/>
  <c r="D64" i="2"/>
  <c r="E64" i="2" s="1"/>
  <c r="AB174" i="2"/>
  <c r="CX8" i="2"/>
  <c r="CX14" i="2" s="1"/>
  <c r="CW14" i="2"/>
  <c r="E226" i="2"/>
  <c r="CG187" i="2"/>
  <c r="X93" i="2"/>
  <c r="E164" i="2"/>
  <c r="D227" i="2"/>
  <c r="E225" i="2"/>
  <c r="E81" i="2"/>
  <c r="AL177" i="2"/>
  <c r="CF187" i="2"/>
  <c r="L177" i="2"/>
  <c r="X138" i="2"/>
  <c r="AB139" i="2" s="1"/>
  <c r="D247" i="2"/>
  <c r="C82" i="2"/>
  <c r="C111" i="2"/>
  <c r="D106" i="2"/>
  <c r="C192" i="2"/>
  <c r="D192" i="2" s="1"/>
  <c r="E192" i="2" s="1"/>
  <c r="CH187" i="2"/>
  <c r="CH138" i="2"/>
  <c r="C151" i="2"/>
  <c r="C145" i="2"/>
  <c r="C147" i="2" s="1"/>
  <c r="D147" i="2" s="1"/>
  <c r="E147" i="2" s="1"/>
  <c r="C163" i="2"/>
  <c r="D163" i="2" s="1"/>
  <c r="E163" i="2" s="1"/>
  <c r="D143" i="2"/>
  <c r="E143" i="2"/>
  <c r="C75" i="2"/>
  <c r="C77" i="2" s="1"/>
  <c r="D77" i="2" s="1"/>
  <c r="E77" i="2" s="1"/>
  <c r="D74" i="2"/>
  <c r="D75" i="2" s="1"/>
  <c r="E75" i="2" s="1"/>
  <c r="C76" i="2"/>
  <c r="D76" i="2"/>
  <c r="E76" i="2" s="1"/>
  <c r="CD93" i="2"/>
  <c r="L138" i="2"/>
  <c r="E155" i="2"/>
  <c r="D155" i="2"/>
  <c r="C159" i="2"/>
  <c r="D159" i="2" s="1"/>
  <c r="E159" i="2" s="1"/>
  <c r="C118" i="2"/>
  <c r="D118" i="2" s="1"/>
  <c r="D117" i="2"/>
  <c r="E99" i="2" s="1"/>
  <c r="D73" i="4"/>
  <c r="F73" i="4"/>
  <c r="H73" i="4"/>
  <c r="B73" i="4"/>
  <c r="C233" i="2"/>
  <c r="C238" i="2" s="1"/>
  <c r="CH220" i="2"/>
  <c r="D73" i="2"/>
  <c r="E73" i="2"/>
  <c r="V14" i="2"/>
  <c r="D38" i="2" s="1"/>
  <c r="C38" i="2"/>
  <c r="H314" i="5"/>
  <c r="E315" i="5"/>
  <c r="E72" i="2"/>
  <c r="J64" i="3"/>
  <c r="K64" i="3"/>
  <c r="E10" i="6"/>
  <c r="F10" i="6" s="1"/>
  <c r="O90" i="5"/>
  <c r="W15" i="5"/>
  <c r="S277" i="5"/>
  <c r="P290" i="5"/>
  <c r="Q290" i="5"/>
  <c r="D208" i="5"/>
  <c r="F208" i="5" s="1"/>
  <c r="D209" i="5"/>
  <c r="T274" i="3"/>
  <c r="O32" i="5"/>
  <c r="S32" i="5" s="1"/>
  <c r="W180" i="5"/>
  <c r="Q232" i="5"/>
  <c r="U232" i="5"/>
  <c r="K135" i="3"/>
  <c r="I99" i="7"/>
  <c r="M99" i="7"/>
  <c r="M100" i="7" s="1"/>
  <c r="R90" i="2"/>
  <c r="I73" i="4"/>
  <c r="M73" i="4"/>
  <c r="L73" i="4"/>
  <c r="B161" i="4"/>
  <c r="M161" i="4"/>
  <c r="J185" i="4"/>
  <c r="I185" i="4"/>
  <c r="B185" i="4"/>
  <c r="I161" i="4"/>
  <c r="K25" i="4"/>
  <c r="D72" i="4"/>
  <c r="F72" i="4"/>
  <c r="H72" i="4"/>
  <c r="J72" i="4"/>
  <c r="B72" i="4"/>
  <c r="K72" i="4" s="1"/>
  <c r="I72" i="4"/>
  <c r="H47" i="4"/>
  <c r="I47" i="4"/>
  <c r="F47" i="4"/>
  <c r="N45" i="4"/>
  <c r="D47" i="4"/>
  <c r="K26" i="4"/>
  <c r="N26" i="4" s="1"/>
  <c r="B47" i="4"/>
  <c r="C235" i="2"/>
  <c r="E227" i="2"/>
  <c r="C229" i="2"/>
  <c r="D229" i="2" s="1"/>
  <c r="E229" i="2" s="1"/>
  <c r="C232" i="2"/>
  <c r="D232" i="2" s="1"/>
  <c r="E232" i="2" s="1"/>
  <c r="C245" i="2"/>
  <c r="D245" i="2"/>
  <c r="E245" i="2" s="1"/>
  <c r="C102" i="2"/>
  <c r="C105" i="2"/>
  <c r="D105" i="2" s="1"/>
  <c r="E105" i="2" s="1"/>
  <c r="C113" i="2"/>
  <c r="D113" i="2" s="1"/>
  <c r="E113" i="2" s="1"/>
  <c r="D108" i="2"/>
  <c r="I100" i="7"/>
  <c r="S90" i="5"/>
  <c r="Q90" i="5"/>
  <c r="F315" i="5"/>
  <c r="F317" i="5"/>
  <c r="E317" i="5"/>
  <c r="D233" i="2"/>
  <c r="E233" i="2" s="1"/>
  <c r="E74" i="2"/>
  <c r="C153" i="2"/>
  <c r="D145" i="2"/>
  <c r="E145" i="2" s="1"/>
  <c r="C150" i="2"/>
  <c r="D150" i="2" s="1"/>
  <c r="E150" i="2" s="1"/>
  <c r="U32" i="5"/>
  <c r="E110" i="2"/>
  <c r="E106" i="2"/>
  <c r="D210" i="5"/>
  <c r="F210" i="5"/>
  <c r="F209" i="5"/>
  <c r="E114" i="2"/>
  <c r="E112" i="2"/>
  <c r="E119" i="2"/>
  <c r="E98" i="2"/>
  <c r="D151" i="2"/>
  <c r="E151" i="2" s="1"/>
  <c r="C156" i="2"/>
  <c r="C115" i="2"/>
  <c r="D115" i="2" s="1"/>
  <c r="E115" i="2" s="1"/>
  <c r="D111" i="2"/>
  <c r="E111" i="2" s="1"/>
  <c r="E108" i="2"/>
  <c r="C236" i="2"/>
  <c r="D236" i="2" s="1"/>
  <c r="E236" i="2" s="1"/>
  <c r="H48" i="4"/>
  <c r="I48" i="4"/>
  <c r="L48" i="4"/>
  <c r="M48" i="4"/>
  <c r="B48" i="4"/>
  <c r="F48" i="4"/>
  <c r="J48" i="4"/>
  <c r="D48" i="4"/>
  <c r="F245" i="2"/>
  <c r="D235" i="2"/>
  <c r="E235" i="2" s="1"/>
  <c r="C240" i="2"/>
  <c r="D240" i="2" s="1"/>
  <c r="E240" i="2" s="1"/>
  <c r="C109" i="2"/>
  <c r="D109" i="2" s="1"/>
  <c r="E109" i="2" s="1"/>
  <c r="C103" i="2"/>
  <c r="D102" i="2"/>
  <c r="D103" i="2" s="1"/>
  <c r="E103" i="2" s="1"/>
  <c r="D153" i="2"/>
  <c r="E153" i="2"/>
  <c r="C158" i="2"/>
  <c r="D158" i="2"/>
  <c r="E158" i="2" s="1"/>
  <c r="D156" i="2"/>
  <c r="E156" i="2" s="1"/>
  <c r="C160" i="2"/>
  <c r="D160" i="2" s="1"/>
  <c r="E160" i="2" s="1"/>
  <c r="K48" i="4"/>
  <c r="N48" i="4" s="1"/>
  <c r="E102" i="2"/>
  <c r="T64" i="3" l="1"/>
  <c r="S66" i="3"/>
  <c r="T66" i="3" s="1"/>
  <c r="D238" i="2"/>
  <c r="E238" i="2" s="1"/>
  <c r="C242" i="2"/>
  <c r="D242" i="2" s="1"/>
  <c r="E242" i="2" s="1"/>
  <c r="E40" i="2"/>
  <c r="E33" i="2"/>
  <c r="E19" i="2"/>
  <c r="E20" i="2"/>
  <c r="E37" i="2"/>
  <c r="E29" i="2"/>
  <c r="CH93" i="2"/>
  <c r="E34" i="2"/>
  <c r="E230" i="2"/>
  <c r="F264" i="5"/>
  <c r="S94" i="5"/>
  <c r="U94" i="5"/>
  <c r="K47" i="4"/>
  <c r="D116" i="4"/>
  <c r="B116" i="4"/>
  <c r="S347" i="3"/>
  <c r="N48" i="3"/>
  <c r="M52" i="3"/>
  <c r="D115" i="5"/>
  <c r="F115" i="5" s="1"/>
  <c r="H114" i="5"/>
  <c r="U113" i="5"/>
  <c r="S113" i="5"/>
  <c r="Q73" i="5"/>
  <c r="U73" i="5"/>
  <c r="C154" i="2"/>
  <c r="D154" i="2" s="1"/>
  <c r="E154" i="2" s="1"/>
  <c r="E118" i="2"/>
  <c r="D161" i="4"/>
  <c r="H185" i="4"/>
  <c r="K73" i="4"/>
  <c r="N73" i="4" s="1"/>
  <c r="C102" i="7"/>
  <c r="C103" i="7" s="1"/>
  <c r="E239" i="2"/>
  <c r="F239" i="2"/>
  <c r="F248" i="2" s="1"/>
  <c r="E243" i="2"/>
  <c r="C21" i="2"/>
  <c r="W73" i="5"/>
  <c r="V90" i="5"/>
  <c r="W90" i="5" s="1"/>
  <c r="W32" i="5"/>
  <c r="E116" i="2"/>
  <c r="Q32" i="5"/>
  <c r="D102" i="7"/>
  <c r="D103" i="7" s="1"/>
  <c r="E157" i="2"/>
  <c r="D185" i="4"/>
  <c r="K185" i="4" s="1"/>
  <c r="N185" i="4" s="1"/>
  <c r="AA176" i="2"/>
  <c r="L14" i="2"/>
  <c r="C31" i="2"/>
  <c r="BZ13" i="2"/>
  <c r="F104" i="3"/>
  <c r="L57" i="5"/>
  <c r="E59" i="5"/>
  <c r="S144" i="5"/>
  <c r="N92" i="3"/>
  <c r="E116" i="5"/>
  <c r="W113" i="5"/>
  <c r="Q114" i="5"/>
  <c r="O114" i="5"/>
  <c r="W89" i="5"/>
  <c r="E104" i="3"/>
  <c r="U279" i="5"/>
  <c r="G22" i="3"/>
  <c r="U89" i="5"/>
  <c r="F58" i="5"/>
  <c r="S44" i="5"/>
  <c r="W27" i="5"/>
  <c r="Q27" i="5"/>
  <c r="R165" i="5"/>
  <c r="F57" i="6"/>
  <c r="AA55" i="2"/>
  <c r="C59" i="2" s="1"/>
  <c r="CE8" i="2"/>
  <c r="S186" i="5"/>
  <c r="U144" i="5"/>
  <c r="V44" i="3"/>
  <c r="Q23" i="6"/>
  <c r="S89" i="5"/>
  <c r="S80" i="5"/>
  <c r="S52" i="5"/>
  <c r="Q44" i="5"/>
  <c r="T57" i="5"/>
  <c r="U57" i="5" s="1"/>
  <c r="W36" i="5"/>
  <c r="P57" i="5"/>
  <c r="Q57" i="5" s="1"/>
  <c r="U225" i="5"/>
  <c r="C157" i="4"/>
  <c r="K182" i="4"/>
  <c r="E194" i="3"/>
  <c r="N206" i="3"/>
  <c r="N192" i="3"/>
  <c r="G122" i="3"/>
  <c r="F268" i="3"/>
  <c r="K260" i="3"/>
  <c r="K268" i="3" s="1"/>
  <c r="F306" i="3"/>
  <c r="F347" i="3" s="1"/>
  <c r="DG138" i="2"/>
  <c r="DJ54" i="2"/>
  <c r="Q8" i="7"/>
  <c r="Q9" i="7" s="1"/>
  <c r="P12" i="7"/>
  <c r="P13" i="7" s="1"/>
  <c r="V110" i="7"/>
  <c r="V111" i="7" s="1"/>
  <c r="E158" i="4"/>
  <c r="E159" i="4" s="1"/>
  <c r="N182" i="3"/>
  <c r="F273" i="3"/>
  <c r="F324" i="3"/>
  <c r="P10" i="7"/>
  <c r="P11" i="7" s="1"/>
  <c r="R12" i="7"/>
  <c r="R13" i="7" s="1"/>
  <c r="V112" i="7"/>
  <c r="V113" i="7" s="1"/>
  <c r="W110" i="7"/>
  <c r="W111" i="7" s="1"/>
  <c r="N274" i="3"/>
  <c r="N262" i="3"/>
  <c r="H177" i="2"/>
  <c r="CS93" i="2"/>
  <c r="DM54" i="2"/>
  <c r="DP54" i="2"/>
  <c r="O102" i="10"/>
  <c r="Q10" i="7"/>
  <c r="Q11" i="7" s="1"/>
  <c r="V114" i="7"/>
  <c r="V115" i="7" s="1"/>
  <c r="U112" i="7"/>
  <c r="C220" i="3"/>
  <c r="F265" i="5"/>
  <c r="J158" i="4"/>
  <c r="J161" i="4" s="1"/>
  <c r="N136" i="3"/>
  <c r="N167" i="3"/>
  <c r="F122" i="3"/>
  <c r="J177" i="2"/>
  <c r="H99" i="7"/>
  <c r="H100" i="7" s="1"/>
  <c r="R10" i="7"/>
  <c r="R11" i="7" s="1"/>
  <c r="U110" i="7"/>
  <c r="U114" i="7"/>
  <c r="E99" i="7"/>
  <c r="E100" i="7" s="1"/>
  <c r="D196" i="2"/>
  <c r="C200" i="2"/>
  <c r="D200" i="2" s="1"/>
  <c r="E200" i="2" s="1"/>
  <c r="E196" i="2"/>
  <c r="C197" i="2"/>
  <c r="J160" i="4"/>
  <c r="D160" i="4"/>
  <c r="I160" i="4"/>
  <c r="H160" i="4"/>
  <c r="F160" i="4"/>
  <c r="B160" i="4"/>
  <c r="DP187" i="2"/>
  <c r="DM187" i="2"/>
  <c r="DJ187" i="2"/>
  <c r="DS187" i="2"/>
  <c r="F97" i="3"/>
  <c r="E98" i="3"/>
  <c r="E92" i="3"/>
  <c r="F91" i="3"/>
  <c r="F92" i="3" s="1"/>
  <c r="D168" i="5"/>
  <c r="F168" i="5" s="1"/>
  <c r="F167" i="5"/>
  <c r="F182" i="3"/>
  <c r="F183" i="3" s="1"/>
  <c r="E183" i="3"/>
  <c r="L161" i="4"/>
  <c r="K98" i="3"/>
  <c r="S165" i="5"/>
  <c r="DP220" i="2"/>
  <c r="DM220" i="2"/>
  <c r="DJ220" i="2"/>
  <c r="DS220" i="2"/>
  <c r="E44" i="3"/>
  <c r="F39" i="3"/>
  <c r="W165" i="5"/>
  <c r="U165" i="5"/>
  <c r="Q165" i="5"/>
  <c r="S239" i="5"/>
  <c r="Q239" i="5"/>
  <c r="U239" i="5"/>
  <c r="F129" i="3"/>
  <c r="F142" i="3" s="1"/>
  <c r="E142" i="3"/>
  <c r="F155" i="3"/>
  <c r="F161" i="3" s="1"/>
  <c r="E161" i="3"/>
  <c r="F165" i="3"/>
  <c r="E168" i="3"/>
  <c r="F177" i="3"/>
  <c r="E178" i="3"/>
  <c r="F197" i="3"/>
  <c r="F199" i="3" s="1"/>
  <c r="E199" i="3"/>
  <c r="F203" i="3"/>
  <c r="E208" i="3"/>
  <c r="F161" i="4"/>
  <c r="K161" i="4" s="1"/>
  <c r="N161" i="4" s="1"/>
  <c r="DG187" i="2"/>
  <c r="F98" i="3"/>
  <c r="W239" i="5"/>
  <c r="F168" i="3"/>
  <c r="F178" i="3"/>
  <c r="N178" i="3"/>
  <c r="T182" i="3"/>
  <c r="F208" i="3"/>
  <c r="T205" i="3"/>
  <c r="DR220" i="2"/>
  <c r="DO220" i="2"/>
  <c r="DL220" i="2"/>
  <c r="DI220" i="2"/>
  <c r="M209" i="3"/>
  <c r="T90" i="5"/>
  <c r="U90" i="5" s="1"/>
  <c r="U220" i="3"/>
  <c r="J99" i="7"/>
  <c r="DJ14" i="2"/>
  <c r="DM14" i="2"/>
  <c r="DP14" i="2"/>
  <c r="DI187" i="2"/>
  <c r="DL187" i="2"/>
  <c r="DO187" i="2"/>
  <c r="DS138" i="2"/>
  <c r="DE93" i="2"/>
  <c r="O3" i="10"/>
  <c r="O22" i="10"/>
  <c r="O87" i="10"/>
  <c r="O66" i="10"/>
  <c r="CV12" i="2"/>
  <c r="CV9" i="2"/>
  <c r="DF187" i="2"/>
  <c r="DM138" i="2"/>
  <c r="DP138" i="2"/>
  <c r="CV93" i="2"/>
  <c r="CY93" i="2"/>
  <c r="D184" i="4" l="1"/>
  <c r="F184" i="4"/>
  <c r="J184" i="4"/>
  <c r="I184" i="4"/>
  <c r="B184" i="4"/>
  <c r="H184" i="4"/>
  <c r="N52" i="3"/>
  <c r="M64" i="3"/>
  <c r="N64" i="3" s="1"/>
  <c r="D31" i="2"/>
  <c r="E31" i="2" s="1"/>
  <c r="C35" i="2"/>
  <c r="D35" i="2" s="1"/>
  <c r="E35" i="2" s="1"/>
  <c r="C39" i="2"/>
  <c r="D39" i="2" s="1"/>
  <c r="E39" i="2" s="1"/>
  <c r="D21" i="2"/>
  <c r="E21" i="2" s="1"/>
  <c r="C26" i="2"/>
  <c r="C23" i="2"/>
  <c r="F59" i="5"/>
  <c r="E60" i="5"/>
  <c r="F60" i="5" s="1"/>
  <c r="CF8" i="2"/>
  <c r="CE14" i="2"/>
  <c r="F116" i="5"/>
  <c r="E117" i="5"/>
  <c r="F117" i="5" s="1"/>
  <c r="N209" i="3"/>
  <c r="K160" i="4"/>
  <c r="F274" i="3"/>
  <c r="D59" i="2"/>
  <c r="E59" i="2" s="1"/>
  <c r="C80" i="2"/>
  <c r="D80" i="2" s="1"/>
  <c r="E80" i="2" s="1"/>
  <c r="C61" i="2"/>
  <c r="U114" i="5"/>
  <c r="S114" i="5"/>
  <c r="AB176" i="2"/>
  <c r="AB177" i="2" s="1"/>
  <c r="AA177" i="2"/>
  <c r="C183" i="2" s="1"/>
  <c r="K116" i="4"/>
  <c r="W114" i="5"/>
  <c r="D197" i="2"/>
  <c r="E197" i="2" s="1"/>
  <c r="E209" i="3"/>
  <c r="E105" i="3"/>
  <c r="F105" i="3" s="1"/>
  <c r="J100" i="7"/>
  <c r="E102" i="7"/>
  <c r="E103" i="7" s="1"/>
  <c r="F44" i="3"/>
  <c r="E64" i="3"/>
  <c r="F64" i="3" s="1"/>
  <c r="T209" i="3"/>
  <c r="F209" i="3"/>
  <c r="D183" i="2" l="1"/>
  <c r="E183" i="2" s="1"/>
  <c r="C185" i="2"/>
  <c r="C204" i="2"/>
  <c r="D204" i="2" s="1"/>
  <c r="E204" i="2" s="1"/>
  <c r="D61" i="2"/>
  <c r="E61" i="2" s="1"/>
  <c r="C67" i="2"/>
  <c r="C63" i="2"/>
  <c r="D63" i="2" s="1"/>
  <c r="E63" i="2" s="1"/>
  <c r="CF14" i="2"/>
  <c r="CG14" i="2"/>
  <c r="D23" i="2"/>
  <c r="C24" i="2"/>
  <c r="D26" i="2"/>
  <c r="E26" i="2" s="1"/>
  <c r="K184" i="4"/>
  <c r="C27" i="2" l="1"/>
  <c r="CH14" i="2"/>
  <c r="C194" i="2"/>
  <c r="C191" i="2"/>
  <c r="D185" i="2"/>
  <c r="E185" i="2" s="1"/>
  <c r="C187" i="2"/>
  <c r="D187" i="2" s="1"/>
  <c r="E187" i="2" s="1"/>
  <c r="D24" i="2"/>
  <c r="E24" i="2" s="1"/>
  <c r="E23" i="2"/>
  <c r="D67" i="2"/>
  <c r="E67" i="2" s="1"/>
  <c r="C71" i="2"/>
  <c r="D71" i="2" s="1"/>
  <c r="E71" i="2" s="1"/>
  <c r="D191" i="2" l="1"/>
  <c r="E191" i="2" s="1"/>
  <c r="C195" i="2"/>
  <c r="D195" i="2" s="1"/>
  <c r="E195" i="2" s="1"/>
  <c r="C199" i="2"/>
  <c r="D194" i="2"/>
  <c r="E194" i="2" s="1"/>
  <c r="C32" i="2"/>
  <c r="D27" i="2"/>
  <c r="E27" i="2" s="1"/>
  <c r="C30" i="2"/>
  <c r="D30" i="2" s="1"/>
  <c r="E30" i="2" s="1"/>
  <c r="D199" i="2" l="1"/>
  <c r="E199" i="2" s="1"/>
  <c r="C201" i="2"/>
  <c r="D201" i="2" s="1"/>
  <c r="E201" i="2" s="1"/>
  <c r="D32" i="2"/>
  <c r="E32" i="2" s="1"/>
  <c r="C36" i="2"/>
  <c r="D36" i="2" s="1"/>
  <c r="E3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Joseph Kott</author>
  </authors>
  <commentList>
    <comment ref="E6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 in stroller</t>
        </r>
      </text>
    </comment>
    <comment ref="G6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Joseph Kott:
1 jaywalker</t>
        </r>
      </text>
    </comment>
    <comment ref="E68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7 in strollers</t>
        </r>
      </text>
    </comment>
    <comment ref="G68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 on strollers</t>
        </r>
      </text>
    </comment>
    <comment ref="I6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 on sidepath</t>
        </r>
      </text>
    </comment>
    <comment ref="E70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 in stroller</t>
        </r>
      </text>
    </comment>
    <comment ref="G70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12 rail passengers (crossed 1/2 of street)</t>
        </r>
      </text>
    </comment>
    <comment ref="I70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7 on sidepath</t>
        </r>
      </text>
    </comment>
    <comment ref="E71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 in strollers</t>
        </r>
      </text>
    </comment>
    <comment ref="G71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stroller; 10 rail passengers</t>
        </r>
      </text>
    </comment>
    <comment ref="I71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 on sidewalk</t>
        </r>
      </text>
    </comment>
    <comment ref="G72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 rail passengers</t>
        </r>
      </text>
    </comment>
    <comment ref="I72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4 on sidepath</t>
        </r>
      </text>
    </comment>
    <comment ref="E73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 in strollers</t>
        </r>
      </text>
    </comment>
    <comment ref="G73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13 rail passengers</t>
        </r>
      </text>
    </comment>
    <comment ref="G74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8 rail passengers (crossed 1/2 of the street)
</t>
        </r>
      </text>
    </comment>
    <comment ref="I74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on sidepath</t>
        </r>
      </text>
    </comment>
    <comment ref="E75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</t>
        </r>
      </text>
    </comment>
    <comment ref="G75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4 in stroller; 10 rail passengers</t>
        </r>
      </text>
    </comment>
    <comment ref="I75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 on sidewalk</t>
        </r>
      </text>
    </comment>
    <comment ref="G76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18 rail passengers</t>
        </r>
      </text>
    </comment>
    <comment ref="E77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 in strollers</t>
        </r>
      </text>
    </comment>
    <comment ref="G77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rail passengr (crossed half of street) and 2 in strollers.</t>
        </r>
      </text>
    </comment>
    <comment ref="I77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4 on sidepath
</t>
        </r>
      </text>
    </comment>
    <comment ref="E78" authorId="0" shapeId="0" xr:uid="{00000000-0006-0000-0400-000019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</t>
        </r>
      </text>
    </comment>
    <comment ref="G78" authorId="0" shapeId="0" xr:uid="{00000000-0006-0000-0400-00001A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</t>
        </r>
      </text>
    </comment>
    <comment ref="I78" authorId="0" shapeId="0" xr:uid="{00000000-0006-0000-0400-00001B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4 on sidepath
</t>
        </r>
      </text>
    </comment>
    <comment ref="G79" authorId="0" shapeId="0" xr:uid="{00000000-0006-0000-0400-00001C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</t>
        </r>
      </text>
    </comment>
    <comment ref="I79" authorId="0" shapeId="0" xr:uid="{00000000-0006-0000-0400-00001D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on sidepath</t>
        </r>
      </text>
    </comment>
    <comment ref="E80" authorId="0" shapeId="0" xr:uid="{00000000-0006-0000-0400-00001E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</t>
        </r>
      </text>
    </comment>
    <comment ref="G80" authorId="0" shapeId="0" xr:uid="{00000000-0006-0000-0400-00001F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</t>
        </r>
      </text>
    </comment>
    <comment ref="E81" authorId="0" shapeId="0" xr:uid="{00000000-0006-0000-0400-000020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 in strollers</t>
        </r>
      </text>
    </comment>
    <comment ref="G81" authorId="0" shapeId="0" xr:uid="{00000000-0006-0000-0400-000021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8 rail passengers (crossed 1/2 of street)</t>
        </r>
      </text>
    </comment>
    <comment ref="I81" authorId="0" shapeId="0" xr:uid="{00000000-0006-0000-0400-000022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6 on sidepath.</t>
        </r>
      </text>
    </comment>
    <comment ref="E82" authorId="0" shapeId="0" xr:uid="{00000000-0006-0000-0400-000023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 in strollers</t>
        </r>
      </text>
    </comment>
    <comment ref="G82" authorId="0" shapeId="0" xr:uid="{00000000-0006-0000-0400-000024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rail passenger (crossed 1/2 of street)</t>
        </r>
      </text>
    </comment>
    <comment ref="I82" authorId="0" shapeId="0" xr:uid="{00000000-0006-0000-0400-000025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 on sidepath</t>
        </r>
      </text>
    </comment>
    <comment ref="E83" authorId="0" shapeId="0" xr:uid="{00000000-0006-0000-0400-000026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</t>
        </r>
      </text>
    </comment>
    <comment ref="G83" authorId="0" shapeId="0" xr:uid="{00000000-0006-0000-0400-000027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7 rail passengers</t>
        </r>
      </text>
    </comment>
    <comment ref="I83" authorId="0" shapeId="0" xr:uid="{00000000-0006-0000-0400-000028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4 on sidepath</t>
        </r>
      </text>
    </comment>
    <comment ref="E84" authorId="0" shapeId="0" xr:uid="{00000000-0006-0000-0400-000029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</t>
        </r>
      </text>
    </comment>
    <comment ref="G84" authorId="0" shapeId="0" xr:uid="{00000000-0006-0000-0400-00002A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 rail passengers</t>
        </r>
      </text>
    </comment>
    <comment ref="I84" authorId="0" shapeId="0" xr:uid="{00000000-0006-0000-0400-00002B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6 on sidepath</t>
        </r>
      </text>
    </comment>
    <comment ref="E85" authorId="0" shapeId="0" xr:uid="{00000000-0006-0000-0400-00002C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
</t>
        </r>
      </text>
    </comment>
    <comment ref="G85" authorId="0" shapeId="0" xr:uid="{00000000-0006-0000-0400-00002D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5  rail passengers</t>
        </r>
      </text>
    </comment>
    <comment ref="I85" authorId="0" shapeId="0" xr:uid="{00000000-0006-0000-0400-00002E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5 on sidepath</t>
        </r>
      </text>
    </comment>
    <comment ref="E86" authorId="0" shapeId="0" xr:uid="{00000000-0006-0000-0400-00002F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 strollers</t>
        </r>
      </text>
    </comment>
    <comment ref="G86" authorId="0" shapeId="0" xr:uid="{00000000-0006-0000-0400-000030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stroller</t>
        </r>
      </text>
    </comment>
    <comment ref="I86" authorId="0" shapeId="0" xr:uid="{00000000-0006-0000-0400-000031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7 on sidepath</t>
        </r>
      </text>
    </comment>
    <comment ref="G87" authorId="0" shapeId="0" xr:uid="{00000000-0006-0000-0400-000032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 rail passengers (crossed 1/2 of street)</t>
        </r>
      </text>
    </comment>
    <comment ref="I87" authorId="0" shapeId="0" xr:uid="{00000000-0006-0000-0400-000033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 on sidepath</t>
        </r>
      </text>
    </comment>
    <comment ref="G88" authorId="0" shapeId="0" xr:uid="{00000000-0006-0000-0400-000034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5 rail passengers</t>
        </r>
      </text>
    </comment>
    <comment ref="I88" authorId="0" shapeId="0" xr:uid="{00000000-0006-0000-0400-000035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6 on sidepath</t>
        </r>
      </text>
    </comment>
    <comment ref="E89" authorId="0" shapeId="0" xr:uid="{00000000-0006-0000-0400-000036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 in strollers</t>
        </r>
      </text>
    </comment>
    <comment ref="G89" authorId="0" shapeId="0" xr:uid="{00000000-0006-0000-0400-000037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 rail passengers</t>
        </r>
      </text>
    </comment>
    <comment ref="I89" authorId="0" shapeId="0" xr:uid="{00000000-0006-0000-0400-000038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4 on sidepath</t>
        </r>
      </text>
    </comment>
    <comment ref="G91" authorId="0" shapeId="0" xr:uid="{00000000-0006-0000-0400-000039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 stroller
</t>
        </r>
      </text>
    </comment>
    <comment ref="I91" authorId="0" shapeId="0" xr:uid="{00000000-0006-0000-0400-00003A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</t>
        </r>
      </text>
    </comment>
    <comment ref="E92" authorId="0" shapeId="0" xr:uid="{00000000-0006-0000-0400-00003B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stroller</t>
        </r>
      </text>
    </comment>
    <comment ref="G92" authorId="0" shapeId="0" xr:uid="{00000000-0006-0000-0400-00003C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 strollers</t>
        </r>
      </text>
    </comment>
    <comment ref="E93" authorId="0" shapeId="0" xr:uid="{00000000-0006-0000-0400-00003D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 in strollers</t>
        </r>
      </text>
    </comment>
    <comment ref="E94" authorId="0" shapeId="0" xr:uid="{00000000-0006-0000-0400-00003E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
</t>
        </r>
      </text>
    </comment>
    <comment ref="G95" authorId="0" shapeId="0" xr:uid="{00000000-0006-0000-0400-00003F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14 rail passengers
</t>
        </r>
      </text>
    </comment>
    <comment ref="G96" authorId="0" shapeId="0" xr:uid="{00000000-0006-0000-0400-000040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37 rail passengers</t>
        </r>
      </text>
    </comment>
    <comment ref="G97" authorId="0" shapeId="0" xr:uid="{00000000-0006-0000-0400-000041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26 rail passengers
</t>
        </r>
      </text>
    </comment>
    <comment ref="G98" authorId="0" shapeId="0" xr:uid="{00000000-0006-0000-0400-000042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24 rail passengers
</t>
        </r>
      </text>
    </comment>
    <comment ref="E100" authorId="0" shapeId="0" xr:uid="{00000000-0006-0000-0400-000043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</t>
        </r>
      </text>
    </comment>
    <comment ref="E101" authorId="0" shapeId="0" xr:uid="{00000000-0006-0000-0400-000044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5 in strollers</t>
        </r>
      </text>
    </comment>
    <comment ref="G101" authorId="0" shapeId="0" xr:uid="{00000000-0006-0000-0400-000045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36 rail passengers
</t>
        </r>
      </text>
    </comment>
    <comment ref="G102" authorId="0" shapeId="0" xr:uid="{00000000-0006-0000-0400-000046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54 rail passengers
</t>
        </r>
      </text>
    </comment>
    <comment ref="E103" authorId="0" shapeId="0" xr:uid="{00000000-0006-0000-0400-000047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 in strollers</t>
        </r>
      </text>
    </comment>
    <comment ref="G103" authorId="0" shapeId="0" xr:uid="{00000000-0006-0000-0400-000048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 in strollers</t>
        </r>
      </text>
    </comment>
    <comment ref="E104" authorId="0" shapeId="0" xr:uid="{00000000-0006-0000-0400-000049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 in strollers</t>
        </r>
      </text>
    </comment>
    <comment ref="G104" authorId="0" shapeId="0" xr:uid="{00000000-0006-0000-0400-00004A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3 in strollers</t>
        </r>
      </text>
    </comment>
    <comment ref="E105" authorId="0" shapeId="0" xr:uid="{00000000-0006-0000-0400-00004B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4 in strollers
</t>
        </r>
      </text>
    </comment>
    <comment ref="E106" authorId="0" shapeId="0" xr:uid="{00000000-0006-0000-0400-00004C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
</t>
        </r>
      </text>
    </comment>
    <comment ref="G107" authorId="0" shapeId="0" xr:uid="{00000000-0006-0000-0400-00004D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14 rail passengers
</t>
        </r>
      </text>
    </comment>
    <comment ref="G108" authorId="0" shapeId="0" xr:uid="{00000000-0006-0000-0400-00004E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14 rail passengers
</t>
        </r>
      </text>
    </comment>
    <comment ref="G109" authorId="0" shapeId="0" xr:uid="{00000000-0006-0000-0400-00004F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24 rail passengers</t>
        </r>
      </text>
    </comment>
    <comment ref="E112" authorId="0" shapeId="0" xr:uid="{00000000-0006-0000-0400-000050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2 in strollers
</t>
        </r>
      </text>
    </comment>
    <comment ref="G112" authorId="0" shapeId="0" xr:uid="{00000000-0006-0000-0400-000051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9 rail passengers</t>
        </r>
      </text>
    </comment>
    <comment ref="E113" authorId="0" shapeId="0" xr:uid="{00000000-0006-0000-0400-000052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 in strollers</t>
        </r>
      </text>
    </comment>
    <comment ref="G113" authorId="0" shapeId="0" xr:uid="{00000000-0006-0000-0400-000053000000}">
      <text>
        <r>
          <rPr>
            <b/>
            <sz val="8"/>
            <color indexed="81"/>
            <rFont val="Tahoma"/>
            <family val="2"/>
          </rPr>
          <t>Joseph Kott:</t>
        </r>
        <r>
          <rPr>
            <sz val="8"/>
            <color indexed="81"/>
            <rFont val="Tahoma"/>
            <family val="2"/>
          </rPr>
          <t xml:space="preserve">
17 rail passengers
</t>
        </r>
      </text>
    </comment>
  </commentList>
</comments>
</file>

<file path=xl/sharedStrings.xml><?xml version="1.0" encoding="utf-8"?>
<sst xmlns="http://schemas.openxmlformats.org/spreadsheetml/2006/main" count="7046" uniqueCount="1037">
  <si>
    <t>Street</t>
  </si>
  <si>
    <t>STREETS OF CLAY SPACE DATA CALCULATIONS</t>
  </si>
  <si>
    <t>Tree</t>
  </si>
  <si>
    <t>Canopy</t>
  </si>
  <si>
    <t>Surface</t>
  </si>
  <si>
    <t>(trees)</t>
  </si>
  <si>
    <t>Perm</t>
  </si>
  <si>
    <t>(other)</t>
  </si>
  <si>
    <t>Frontage Gaps</t>
  </si>
  <si>
    <t>Gaps</t>
  </si>
  <si>
    <t>Frontage</t>
  </si>
  <si>
    <t>Lombard</t>
  </si>
  <si>
    <t>Street:</t>
  </si>
  <si>
    <t>Segment:</t>
  </si>
  <si>
    <t>Pierce-</t>
  </si>
  <si>
    <t>Scott</t>
  </si>
  <si>
    <t>ft.</t>
  </si>
  <si>
    <t>meters</t>
  </si>
  <si>
    <t xml:space="preserve"> </t>
  </si>
  <si>
    <t>Driveways</t>
  </si>
  <si>
    <t>Res.</t>
  </si>
  <si>
    <t>Comm.</t>
  </si>
  <si>
    <t>Northside</t>
  </si>
  <si>
    <t>Southside</t>
  </si>
  <si>
    <t xml:space="preserve">Bike </t>
  </si>
  <si>
    <t>Racks</t>
  </si>
  <si>
    <t>r</t>
  </si>
  <si>
    <r>
      <t>r</t>
    </r>
    <r>
      <rPr>
        <b/>
        <vertAlign val="superscript"/>
        <sz val="10"/>
        <rFont val="Arial"/>
        <family val="2"/>
      </rPr>
      <t>2</t>
    </r>
  </si>
  <si>
    <t>#</t>
  </si>
  <si>
    <t>1 dim.</t>
  </si>
  <si>
    <t>2 dim.</t>
  </si>
  <si>
    <t>area</t>
  </si>
  <si>
    <t>reduction</t>
  </si>
  <si>
    <t>factor</t>
  </si>
  <si>
    <t>Pierce-Scott</t>
  </si>
  <si>
    <t>Steiner-Pierce</t>
  </si>
  <si>
    <t>Bus</t>
  </si>
  <si>
    <t>Stop</t>
  </si>
  <si>
    <t xml:space="preserve">Bus </t>
  </si>
  <si>
    <t>S</t>
  </si>
  <si>
    <t>Shelter</t>
  </si>
  <si>
    <t>Steiner -</t>
  </si>
  <si>
    <t>Segment</t>
  </si>
  <si>
    <t>N</t>
  </si>
  <si>
    <t>Curb to</t>
  </si>
  <si>
    <t>OSW -</t>
  </si>
  <si>
    <t>SWW, ft.</t>
  </si>
  <si>
    <t>SW W, ft.</t>
  </si>
  <si>
    <t>SWW, m.</t>
  </si>
  <si>
    <t>Tree Canopy</t>
  </si>
  <si>
    <t>Tree Perm Surface</t>
  </si>
  <si>
    <t>Perm Surface</t>
  </si>
  <si>
    <t>Ft.</t>
  </si>
  <si>
    <t>Meters</t>
  </si>
  <si>
    <t>Fillmore-</t>
  </si>
  <si>
    <t>Steiner</t>
  </si>
  <si>
    <t>Fillmore-Steiner</t>
  </si>
  <si>
    <t>Other</t>
  </si>
  <si>
    <t>Broderick-Divisidero</t>
  </si>
  <si>
    <t>Broderick-</t>
  </si>
  <si>
    <t>Divisidero</t>
  </si>
  <si>
    <t>Divisidero -</t>
  </si>
  <si>
    <t>Median</t>
  </si>
  <si>
    <t>Curb W,ft.</t>
  </si>
  <si>
    <t>OSW, ft.</t>
  </si>
  <si>
    <t>OSW, M</t>
  </si>
  <si>
    <t>Curb W, M</t>
  </si>
  <si>
    <t>Divisidero-Scott</t>
  </si>
  <si>
    <t>TOTAL</t>
  </si>
  <si>
    <t>Cross-</t>
  </si>
  <si>
    <t>Street L, ft.</t>
  </si>
  <si>
    <t>Street L, M</t>
  </si>
  <si>
    <t>Length, KM</t>
  </si>
  <si>
    <t>Length, ft.</t>
  </si>
  <si>
    <t>Length, M</t>
  </si>
  <si>
    <t>Length, Mi</t>
  </si>
  <si>
    <t>median</t>
  </si>
  <si>
    <t xml:space="preserve">On-Street </t>
  </si>
  <si>
    <t>Parking</t>
  </si>
  <si>
    <t>metered</t>
  </si>
  <si>
    <t>no meters</t>
  </si>
  <si>
    <t>x</t>
  </si>
  <si>
    <t>Gaps, M</t>
  </si>
  <si>
    <t>Gaps, ft.</t>
  </si>
  <si>
    <t>Total</t>
  </si>
  <si>
    <t>Length, M.</t>
  </si>
  <si>
    <t>Gap %</t>
  </si>
  <si>
    <t>Median,</t>
  </si>
  <si>
    <t>W, Ft.</t>
  </si>
  <si>
    <t>W, M</t>
  </si>
  <si>
    <t>L, Ft.</t>
  </si>
  <si>
    <t>L, M</t>
  </si>
  <si>
    <t>Street %</t>
  </si>
  <si>
    <t>Bus Stop</t>
  </si>
  <si>
    <t>L,%</t>
  </si>
  <si>
    <t>Area, Ft.</t>
  </si>
  <si>
    <t>Area, M</t>
  </si>
  <si>
    <t>AVG</t>
  </si>
  <si>
    <t>Curb Area,ft.</t>
  </si>
  <si>
    <t>Curb Area, M</t>
  </si>
  <si>
    <t>Vehicle Classification</t>
  </si>
  <si>
    <t>Segment or</t>
  </si>
  <si>
    <t>Station:</t>
  </si>
  <si>
    <t>Cars</t>
  </si>
  <si>
    <t>Lt. Trucks</t>
  </si>
  <si>
    <t>Trucks</t>
  </si>
  <si>
    <t>2xl</t>
  </si>
  <si>
    <t>3xl</t>
  </si>
  <si>
    <t>Motorcycles</t>
  </si>
  <si>
    <t>Taxi/Limo</t>
  </si>
  <si>
    <t>Bike</t>
  </si>
  <si>
    <t>Other NM</t>
  </si>
  <si>
    <t>Occupancy</t>
  </si>
  <si>
    <t>Motor V</t>
  </si>
  <si>
    <t>% Share, Total</t>
  </si>
  <si>
    <t>VOR</t>
  </si>
  <si>
    <t>Scott WB</t>
  </si>
  <si>
    <t>Broderick EB</t>
  </si>
  <si>
    <t>Fillmore EB</t>
  </si>
  <si>
    <t>Steiner WB</t>
  </si>
  <si>
    <t>Pierce EB</t>
  </si>
  <si>
    <t>Divisidero WB</t>
  </si>
  <si>
    <t>Divisidero EB</t>
  </si>
  <si>
    <t>Scott EB</t>
  </si>
  <si>
    <t>Pierce WB</t>
  </si>
  <si>
    <t>SW</t>
  </si>
  <si>
    <t>MV Space</t>
  </si>
  <si>
    <t>MV</t>
  </si>
  <si>
    <t>Median, ft.</t>
  </si>
  <si>
    <t>Median, M</t>
  </si>
  <si>
    <t>Alameda</t>
  </si>
  <si>
    <t>Castro</t>
  </si>
  <si>
    <t>San Carlos</t>
  </si>
  <si>
    <t>King</t>
  </si>
  <si>
    <t>Vehicle Speeds, Entry</t>
  </si>
  <si>
    <t>Vehicle Speeds, Mid-Section</t>
  </si>
  <si>
    <t>Ped Interactions, PM</t>
  </si>
  <si>
    <t>Ped Interactions, MidDay</t>
  </si>
  <si>
    <t>Vehicle Classification &amp; VOR</t>
  </si>
  <si>
    <t>Permeable Surface</t>
  </si>
  <si>
    <t>Bus Stops</t>
  </si>
  <si>
    <t>Bike Racks</t>
  </si>
  <si>
    <t>SW Width</t>
  </si>
  <si>
    <t>Striping Plans</t>
  </si>
  <si>
    <t>Crash Data</t>
  </si>
  <si>
    <t>Crime Data</t>
  </si>
  <si>
    <t>AM Pk. Hr. Traffic Volume</t>
  </si>
  <si>
    <t>PM Pk. Hr. Traffic Volume</t>
  </si>
  <si>
    <t>Property Valuation</t>
  </si>
  <si>
    <t>Sale Tax Collections</t>
  </si>
  <si>
    <t>Lane Widths &amp; Geometry</t>
  </si>
  <si>
    <t>Transit Frequency, Routes</t>
  </si>
  <si>
    <t>Expert Interviews</t>
  </si>
  <si>
    <t>Peds @ Mid-block Crosswalks, MidDay</t>
  </si>
  <si>
    <t>Speed Limit</t>
  </si>
  <si>
    <t>Café Chair Count</t>
  </si>
  <si>
    <t>King-</t>
  </si>
  <si>
    <t>3rd NB</t>
  </si>
  <si>
    <t>3rd SB</t>
  </si>
  <si>
    <t>Betw. 3rd &amp; 2nd SB</t>
  </si>
  <si>
    <t>2nd NB</t>
  </si>
  <si>
    <t>Townsend SB</t>
  </si>
  <si>
    <t>Townsend NB</t>
  </si>
  <si>
    <t>Betw. Town.&amp;Bran. SB</t>
  </si>
  <si>
    <t>Betw. Town.&amp;Bran. NB</t>
  </si>
  <si>
    <t>2nd SB</t>
  </si>
  <si>
    <t>% Share, All Street Modes</t>
  </si>
  <si>
    <t>Total, All</t>
  </si>
  <si>
    <t>Street Modes</t>
  </si>
  <si>
    <t>Date</t>
  </si>
  <si>
    <t>Weather</t>
  </si>
  <si>
    <t>Vehicle Speeds</t>
  </si>
  <si>
    <t>Range</t>
  </si>
  <si>
    <t>Embarcadero</t>
  </si>
  <si>
    <t>1.17.08</t>
  </si>
  <si>
    <t>Type</t>
  </si>
  <si>
    <t>Mid-Section</t>
  </si>
  <si>
    <t>Entry</t>
  </si>
  <si>
    <t>Place</t>
  </si>
  <si>
    <t>Betw. Town&amp;2nd</t>
  </si>
  <si>
    <t>Non-Holiday</t>
  </si>
  <si>
    <t>Weekday,</t>
  </si>
  <si>
    <t>S/o Brannon</t>
  </si>
  <si>
    <t>Time Began</t>
  </si>
  <si>
    <t>Road</t>
  </si>
  <si>
    <t>Dry</t>
  </si>
  <si>
    <t>Betw. Scott&amp;Pierce</t>
  </si>
  <si>
    <t>Betw. Fillmore&amp;Steiner</t>
  </si>
  <si>
    <t>Time</t>
  </si>
  <si>
    <t>Began</t>
  </si>
  <si>
    <t>Partly</t>
  </si>
  <si>
    <t>Cloudy</t>
  </si>
  <si>
    <t>10.23.07</t>
  </si>
  <si>
    <t>10.11.07</t>
  </si>
  <si>
    <t>Temp Range</t>
  </si>
  <si>
    <t>52-60F</t>
  </si>
  <si>
    <t>58-75F</t>
  </si>
  <si>
    <t>Peds</t>
  </si>
  <si>
    <t>Along</t>
  </si>
  <si>
    <t>Across</t>
  </si>
  <si>
    <t>To, From</t>
  </si>
  <si>
    <t>Bikes On</t>
  </si>
  <si>
    <t>Fillmore</t>
  </si>
  <si>
    <t>Bikes</t>
  </si>
  <si>
    <t>Crossing</t>
  </si>
  <si>
    <t>Minutes</t>
  </si>
  <si>
    <t>Observer</t>
  </si>
  <si>
    <t>From</t>
  </si>
  <si>
    <t>To</t>
  </si>
  <si>
    <t>Per Obs.</t>
  </si>
  <si>
    <t>Minute</t>
  </si>
  <si>
    <t>Pierce</t>
  </si>
  <si>
    <t>Broderick</t>
  </si>
  <si>
    <t>Ped &amp; Bike Activity:</t>
  </si>
  <si>
    <t>TOTAL,MIDDAY</t>
  </si>
  <si>
    <t>Mid-Day &amp; PM</t>
  </si>
  <si>
    <t>Midday</t>
  </si>
  <si>
    <t>PM</t>
  </si>
  <si>
    <t>TOTAL,PM</t>
  </si>
  <si>
    <t>Fair</t>
  </si>
  <si>
    <t xml:space="preserve">Temp </t>
  </si>
  <si>
    <t>65-75F</t>
  </si>
  <si>
    <t>12.05.07</t>
  </si>
  <si>
    <t>Partly Cloudy/</t>
  </si>
  <si>
    <t>52-54F</t>
  </si>
  <si>
    <t>Tours</t>
  </si>
  <si>
    <t>at Transit</t>
  </si>
  <si>
    <t>at Restr.</t>
  </si>
  <si>
    <t>Smoking</t>
  </si>
  <si>
    <t>Café</t>
  </si>
  <si>
    <t>58-62F</t>
  </si>
  <si>
    <t>11.26.07</t>
  </si>
  <si>
    <t>11.27.07</t>
  </si>
  <si>
    <t>Partly Cloudy</t>
  </si>
  <si>
    <t>MidDay</t>
  </si>
  <si>
    <t>12.03.07</t>
  </si>
  <si>
    <t>56-60F</t>
  </si>
  <si>
    <t>Mostly Cloudy</t>
  </si>
  <si>
    <t>56-57F</t>
  </si>
  <si>
    <t>58-60</t>
  </si>
  <si>
    <t>Standing</t>
  </si>
  <si>
    <t>3rd</t>
  </si>
  <si>
    <t>Betw 2nd &amp; 3rd</t>
  </si>
  <si>
    <t>2nd</t>
  </si>
  <si>
    <t>Townsend</t>
  </si>
  <si>
    <t>Brannon</t>
  </si>
  <si>
    <t>Betw Town&amp;Brann,</t>
  </si>
  <si>
    <t>Ped</t>
  </si>
  <si>
    <t>Interactions</t>
  </si>
  <si>
    <t>People</t>
  </si>
  <si>
    <t>Involved</t>
  </si>
  <si>
    <t>SWL, Ft.</t>
  </si>
  <si>
    <t>SWL, m.</t>
  </si>
  <si>
    <t>TOTALS</t>
  </si>
  <si>
    <t>Crosswalk</t>
  </si>
  <si>
    <t>&amp;</t>
  </si>
  <si>
    <t>W, EW, Ft.</t>
  </si>
  <si>
    <t>W, EW, M</t>
  </si>
  <si>
    <t>W, NS, Ft.</t>
  </si>
  <si>
    <t>W, NS, M</t>
  </si>
  <si>
    <t>Area, EW, Ft.</t>
  </si>
  <si>
    <t>Crosswalk, ALL</t>
  </si>
  <si>
    <t>Area, ALL, Ft.</t>
  </si>
  <si>
    <t>Area, ALL,M</t>
  </si>
  <si>
    <t>Area, NS, Ft.</t>
  </si>
  <si>
    <t>Area,NS,  M</t>
  </si>
  <si>
    <t>Crosswalk,ALL</t>
  </si>
  <si>
    <t>"Recaptured"*</t>
  </si>
  <si>
    <t>* for street use</t>
  </si>
  <si>
    <t>Transit Loading</t>
  </si>
  <si>
    <t>Net MV Space</t>
  </si>
  <si>
    <t>Net Priv. MV Space</t>
  </si>
  <si>
    <t>Priv. MV Share</t>
  </si>
  <si>
    <t>Shared with Peds</t>
  </si>
  <si>
    <t>Net, Unshared Priv MV Space</t>
  </si>
  <si>
    <t>Ped Space, Unshared</t>
  </si>
  <si>
    <t>Ped Space, Total</t>
  </si>
  <si>
    <t>Bike Space, Total</t>
  </si>
  <si>
    <t>Transit MV Space, Shared</t>
  </si>
  <si>
    <t>Transit MV Space, Total</t>
  </si>
  <si>
    <t>Shared with Bikes</t>
  </si>
  <si>
    <t>Transit Share, Road Modes</t>
  </si>
  <si>
    <t>Bike Share, Road Modes</t>
  </si>
  <si>
    <t>Bike Space, Unshared</t>
  </si>
  <si>
    <t>NM Space, Unshared</t>
  </si>
  <si>
    <t>NM Space, Total</t>
  </si>
  <si>
    <t>TOTAL, PERM SURF.</t>
  </si>
  <si>
    <t>TOTAL EFF. ROW AREA</t>
  </si>
  <si>
    <t>Perm Surf, Ft.</t>
  </si>
  <si>
    <t>Perm Surf, M</t>
  </si>
  <si>
    <t>Road Modes</t>
  </si>
  <si>
    <t>Transit  Share</t>
  </si>
  <si>
    <t>Bike  Share</t>
  </si>
  <si>
    <t>Bike Lane</t>
  </si>
  <si>
    <t xml:space="preserve">*includes median, sidestreets </t>
  </si>
  <si>
    <t>in ROW, and other</t>
  </si>
  <si>
    <t>Perm Surface (Nature)</t>
  </si>
  <si>
    <t>% of Eff ROW</t>
  </si>
  <si>
    <t>Canopy, Ft.</t>
  </si>
  <si>
    <t>Canopy, M.</t>
  </si>
  <si>
    <t>Other Imperm Surface*</t>
  </si>
  <si>
    <t>Broderick-Divsidero</t>
  </si>
  <si>
    <t>Divisdero-Scott</t>
  </si>
  <si>
    <t>3rd-2nd</t>
  </si>
  <si>
    <t>King-Embarcadero</t>
  </si>
  <si>
    <t>2nd-Townsend</t>
  </si>
  <si>
    <t>Townsend-Brannon</t>
  </si>
  <si>
    <t>3rd-</t>
  </si>
  <si>
    <t>Townsend-</t>
  </si>
  <si>
    <t>Segment: 3rd-2nd</t>
  </si>
  <si>
    <t xml:space="preserve">Street Section/        </t>
  </si>
  <si>
    <t xml:space="preserve"> #</t>
  </si>
  <si>
    <t>Segment: 2nd-Towns.</t>
  </si>
  <si>
    <t xml:space="preserve">  </t>
  </si>
  <si>
    <t>Segment:Towns.-Brnn.</t>
  </si>
  <si>
    <t>2nd -</t>
  </si>
  <si>
    <t>sq. ft.</t>
  </si>
  <si>
    <t>sq. meters</t>
  </si>
  <si>
    <t>2 disused</t>
  </si>
  <si>
    <t>notes:</t>
  </si>
  <si>
    <t>TOTAL:</t>
  </si>
  <si>
    <t>W</t>
  </si>
  <si>
    <t>E</t>
  </si>
  <si>
    <t>Lt. Rail</t>
  </si>
  <si>
    <t>Proh.</t>
  </si>
  <si>
    <t>Pavemt. Ft.</t>
  </si>
  <si>
    <t>Pavemt. M.</t>
  </si>
  <si>
    <t>Area, EW, M</t>
  </si>
  <si>
    <t>Transit</t>
  </si>
  <si>
    <t>lt. rail</t>
  </si>
  <si>
    <t>"Green Gaps"</t>
  </si>
  <si>
    <t>all W side</t>
  </si>
  <si>
    <t xml:space="preserve"> W</t>
  </si>
  <si>
    <t>Area OSW -</t>
  </si>
  <si>
    <t>Lanes, Ft.</t>
  </si>
  <si>
    <t>Lanes, M</t>
  </si>
  <si>
    <t>Rail Stop</t>
  </si>
  <si>
    <t>Rail Pass.</t>
  </si>
  <si>
    <t>Stop, L, Ft.</t>
  </si>
  <si>
    <t>Stop, L, M</t>
  </si>
  <si>
    <t>Stop Area, Ft.</t>
  </si>
  <si>
    <t>Stop Area, M</t>
  </si>
  <si>
    <t>Ped/Rail</t>
  </si>
  <si>
    <t>W.,M</t>
  </si>
  <si>
    <t>Rail @ Xwalk</t>
  </si>
  <si>
    <t xml:space="preserve">Area, M </t>
  </si>
  <si>
    <t xml:space="preserve">L, M </t>
  </si>
  <si>
    <t xml:space="preserve">Area, Ft. </t>
  </si>
  <si>
    <t>Protected</t>
  </si>
  <si>
    <t>Med., Ft.</t>
  </si>
  <si>
    <t>Med., M</t>
  </si>
  <si>
    <t xml:space="preserve">Transit, Dedicated </t>
  </si>
  <si>
    <t>Metrics</t>
  </si>
  <si>
    <t>Section</t>
  </si>
  <si>
    <t>Cedar</t>
  </si>
  <si>
    <t>Chestnut</t>
  </si>
  <si>
    <t>9.28.07</t>
  </si>
  <si>
    <t>63-67</t>
  </si>
  <si>
    <t>Walnut</t>
  </si>
  <si>
    <t>Laurel</t>
  </si>
  <si>
    <t>Elm</t>
  </si>
  <si>
    <t xml:space="preserve"> 16:02</t>
  </si>
  <si>
    <t>11.07.07</t>
  </si>
  <si>
    <t>62-67</t>
  </si>
  <si>
    <t>55-58</t>
  </si>
  <si>
    <t>63-66</t>
  </si>
  <si>
    <t>Btw. Walnut &amp; Elm</t>
  </si>
  <si>
    <t>16:03-18:04</t>
  </si>
  <si>
    <t>Btw. ELCR &amp; Laurel WB</t>
  </si>
  <si>
    <t>8:05-10:16</t>
  </si>
  <si>
    <t>8:05-10:07</t>
  </si>
  <si>
    <t>Btw. ELCR &amp; Laurel EB</t>
  </si>
  <si>
    <t>Btw. Laurel &amp; Walnut WB</t>
  </si>
  <si>
    <t>Btw. Laurel &amp; Walnut EB</t>
  </si>
  <si>
    <t>Btw. Walnut &amp; Elm WB</t>
  </si>
  <si>
    <t>Btw. Elm &amp; Chestnut WB</t>
  </si>
  <si>
    <t>Btw. Elm &amp; Chestnut EB</t>
  </si>
  <si>
    <t>Btw. ELCR &amp; Laurel  WB</t>
  </si>
  <si>
    <t>Btw. Walnut &amp; Elm EB</t>
  </si>
  <si>
    <t>Btw. Chestnut &amp; Cedar EB</t>
  </si>
  <si>
    <t>Btw. Chestnut &amp; Cedar WB</t>
  </si>
  <si>
    <t>12.13.07</t>
  </si>
  <si>
    <t>11.02.07</t>
  </si>
  <si>
    <t>Samples:</t>
  </si>
  <si>
    <t>Samples</t>
  </si>
  <si>
    <t>Scattered Clouds</t>
  </si>
  <si>
    <t>Walnut to Laurel</t>
  </si>
  <si>
    <t>ELCR to Laurel</t>
  </si>
  <si>
    <t>Cedar to Chestnut</t>
  </si>
  <si>
    <t>Elm to Walnut*</t>
  </si>
  <si>
    <t>*Tree&amp;esplanade combined as Perm Surface (trees)</t>
  </si>
  <si>
    <t>Chestnut to Elm*</t>
  </si>
  <si>
    <t>Green Gaps</t>
  </si>
  <si>
    <t>Elm to Walnut</t>
  </si>
  <si>
    <t>Chestnut to Elm</t>
  </si>
  <si>
    <t>Carlos &amp;</t>
  </si>
  <si>
    <t xml:space="preserve">San </t>
  </si>
  <si>
    <t>El Camino</t>
  </si>
  <si>
    <t>Grader</t>
  </si>
  <si>
    <t>SC STREET COHORT</t>
  </si>
  <si>
    <t>CS</t>
  </si>
  <si>
    <t>a+ = 4.25</t>
  </si>
  <si>
    <t>Subtotal</t>
  </si>
  <si>
    <t>Average</t>
  </si>
  <si>
    <t>CA</t>
  </si>
  <si>
    <t>SC</t>
  </si>
  <si>
    <t>AVERAGE</t>
  </si>
  <si>
    <t>BC STREET COHORT</t>
  </si>
  <si>
    <t>TA</t>
  </si>
  <si>
    <t>KE</t>
  </si>
  <si>
    <t>LS</t>
  </si>
  <si>
    <t>The Alameda</t>
  </si>
  <si>
    <t>10.22.07</t>
  </si>
  <si>
    <t>68-83F</t>
  </si>
  <si>
    <t>Sunny</t>
  </si>
  <si>
    <t>P Cloudy</t>
  </si>
  <si>
    <t>Race</t>
  </si>
  <si>
    <t>NOTES</t>
  </si>
  <si>
    <t>4 bikes on SW</t>
  </si>
  <si>
    <t>Morrison</t>
  </si>
  <si>
    <t>Bush</t>
  </si>
  <si>
    <t>1 bike on SW</t>
  </si>
  <si>
    <t>Sunol</t>
  </si>
  <si>
    <t>Keeble</t>
  </si>
  <si>
    <t>2 bikes on SW</t>
  </si>
  <si>
    <t>5 bikes on SW</t>
  </si>
  <si>
    <t>Stockton</t>
  </si>
  <si>
    <t>3 bikes on SW</t>
  </si>
  <si>
    <t>6 bikes on SW</t>
  </si>
  <si>
    <t>Photo #/str.</t>
  </si>
  <si>
    <t>By Street</t>
  </si>
  <si>
    <t>SCORE</t>
  </si>
  <si>
    <t>9.14.07</t>
  </si>
  <si>
    <t>72-76</t>
  </si>
  <si>
    <t>W. Evelyn</t>
  </si>
  <si>
    <t>Betw W.Ev&amp;Villa</t>
  </si>
  <si>
    <t>Villa</t>
  </si>
  <si>
    <t>Betw Villa&amp;WDana</t>
  </si>
  <si>
    <t>W. Dana</t>
  </si>
  <si>
    <t>Betw W.Dana&amp;CA</t>
  </si>
  <si>
    <t xml:space="preserve">California </t>
  </si>
  <si>
    <t>Betw CA&amp;Mercy</t>
  </si>
  <si>
    <t>Mercy</t>
  </si>
  <si>
    <t>Betw Mercy&amp;Church</t>
  </si>
  <si>
    <t>Church</t>
  </si>
  <si>
    <t>California</t>
  </si>
  <si>
    <t>10.05.07</t>
  </si>
  <si>
    <t>58-61</t>
  </si>
  <si>
    <t>Peral Lane</t>
  </si>
  <si>
    <t>Ash</t>
  </si>
  <si>
    <t>Birch</t>
  </si>
  <si>
    <t>Betw Ash&amp;Birch</t>
  </si>
  <si>
    <t>Betw Birch&amp;Park</t>
  </si>
  <si>
    <t>Park (S.)</t>
  </si>
  <si>
    <t>Mimosa (Xwalk)</t>
  </si>
  <si>
    <t>TOTAL PEDS</t>
  </si>
  <si>
    <t>TOTAL BIKES</t>
  </si>
  <si>
    <t>The</t>
  </si>
  <si>
    <t>11.16.07</t>
  </si>
  <si>
    <t>11.22.07</t>
  </si>
  <si>
    <t xml:space="preserve"> Cloudy</t>
  </si>
  <si>
    <t>68-79</t>
  </si>
  <si>
    <t>Pcloudy</t>
  </si>
  <si>
    <t>49-57</t>
  </si>
  <si>
    <t>09.14.07</t>
  </si>
  <si>
    <t>09.18.07</t>
  </si>
  <si>
    <t>72-73</t>
  </si>
  <si>
    <t>68-70</t>
  </si>
  <si>
    <t>72-77</t>
  </si>
  <si>
    <t>10.06.07</t>
  </si>
  <si>
    <t xml:space="preserve">Fair </t>
  </si>
  <si>
    <t>64-73</t>
  </si>
  <si>
    <t>Sunny, PC</t>
  </si>
  <si>
    <t>49-50</t>
  </si>
  <si>
    <t>8:01-10:17</t>
  </si>
  <si>
    <t>Btw Race &amp; Keeble SB</t>
  </si>
  <si>
    <t>Btw Morrison &amp; Keeble NB</t>
  </si>
  <si>
    <t>Btw Sunol &amp; Cleaves SB</t>
  </si>
  <si>
    <t xml:space="preserve"> 1 bike on SW</t>
  </si>
  <si>
    <t>14:09-15:19</t>
  </si>
  <si>
    <t>Btw Sunol &amp; Cleaves NB</t>
  </si>
  <si>
    <t>Btw Stockton &amp;  Bush SB</t>
  </si>
  <si>
    <t>Btw Stockton &amp; Bush NB</t>
  </si>
  <si>
    <t>Btw Stockton &amp; Bush SB</t>
  </si>
  <si>
    <t>Nr.N. Morrison Ave NB</t>
  </si>
  <si>
    <t>01.17.08</t>
  </si>
  <si>
    <t>07:51-10:02</t>
  </si>
  <si>
    <t>08:17-10:09</t>
  </si>
  <si>
    <t>14:52-15:15</t>
  </si>
  <si>
    <t>07:45:00-10:18:00</t>
  </si>
  <si>
    <t>Btw Evelyn &amp; Villa</t>
  </si>
  <si>
    <t>Btw W. Dana &amp; California</t>
  </si>
  <si>
    <t>Btw Mercy &amp; Church</t>
  </si>
  <si>
    <t>Btw Mercy &amp; California</t>
  </si>
  <si>
    <t>Btw Dana &amp; Villa</t>
  </si>
  <si>
    <t>1 Electric Scooter; 1 bike on SW</t>
  </si>
  <si>
    <t>1 Motorized 3-wheeler</t>
  </si>
  <si>
    <t>1 Motorized 3-wheeler; 1 bike on SW</t>
  </si>
  <si>
    <t>16:07-18:15</t>
  </si>
  <si>
    <t>VOR, Subtotal</t>
  </si>
  <si>
    <t>VOR, TOTAL</t>
  </si>
  <si>
    <t>E/O Church</t>
  </si>
  <si>
    <t>Btw Villa @ Dana</t>
  </si>
  <si>
    <t>12.21.07</t>
  </si>
  <si>
    <t>Clear</t>
  </si>
  <si>
    <t>Btw Birch &amp; Ash</t>
  </si>
  <si>
    <t>Btw ElCR &amp; Mimosa</t>
  </si>
  <si>
    <t>11-27 mph</t>
  </si>
  <si>
    <t>PC</t>
  </si>
  <si>
    <t>11.05.07</t>
  </si>
  <si>
    <t>Btw Ash &amp; Birch</t>
  </si>
  <si>
    <t>Btw Birch &amp; Park</t>
  </si>
  <si>
    <t>Segment: Race-Keeble</t>
  </si>
  <si>
    <t>Race-Keeble</t>
  </si>
  <si>
    <t>Segment: Keeble-Morrison</t>
  </si>
  <si>
    <t>Keeble-Morrison</t>
  </si>
  <si>
    <t>Segment: Morrison-Cleaves</t>
  </si>
  <si>
    <t>Morrison-Cleaves</t>
  </si>
  <si>
    <t>Segment: Sunol-Wilson</t>
  </si>
  <si>
    <t>Sunol-Wilson</t>
  </si>
  <si>
    <t>Segment: Wilson-Bush</t>
  </si>
  <si>
    <t>Wilson-Bush</t>
  </si>
  <si>
    <t>Segment: Bush-Stockton</t>
  </si>
  <si>
    <t>Bush-Stockton</t>
  </si>
  <si>
    <t>Segment:Stockton-Sunol</t>
  </si>
  <si>
    <t>Stockton-Sunol</t>
  </si>
  <si>
    <t>Segment:Sunol-Rhodes</t>
  </si>
  <si>
    <t>Sunol-Rhodes</t>
  </si>
  <si>
    <t>Segment: Rhodes-Morrison</t>
  </si>
  <si>
    <t>Rhodes-Morrison</t>
  </si>
  <si>
    <t>W Evelyn to Villa</t>
  </si>
  <si>
    <t>Segment: W Evelyn-Villa</t>
  </si>
  <si>
    <t>Notes</t>
  </si>
  <si>
    <t>Frontage gaps both paseos</t>
  </si>
  <si>
    <t>Segment: Villa-Dana</t>
  </si>
  <si>
    <t>Planter area: 8*3.5*7.5 =</t>
  </si>
  <si>
    <t>sq.ft.</t>
  </si>
  <si>
    <t>Villa to Dana</t>
  </si>
  <si>
    <t>Dana to California</t>
  </si>
  <si>
    <t>California-Mercy</t>
  </si>
  <si>
    <t>Segment:California-Mercy</t>
  </si>
  <si>
    <t>Mercy-Church</t>
  </si>
  <si>
    <t>Segment:Mercy-Church</t>
  </si>
  <si>
    <t>Planter area: 3*(2.1667*9.416667)+1(5*3.25)</t>
  </si>
  <si>
    <t>Planter area: 3*(2.1667*9.416667)</t>
  </si>
  <si>
    <t>TOTAL, PERM. SURF.</t>
  </si>
  <si>
    <t>ELCR-Minosa</t>
  </si>
  <si>
    <t>Segment: ECLR-Minosa</t>
  </si>
  <si>
    <t>Segment: Minosa-Ash</t>
  </si>
  <si>
    <t>Minosa-Ash</t>
  </si>
  <si>
    <t>Segment: Ash-Birch</t>
  </si>
  <si>
    <t>Ash-Birch</t>
  </si>
  <si>
    <t>gap=paseo</t>
  </si>
  <si>
    <t>S Park - N Park</t>
  </si>
  <si>
    <t>Segment: Birch-S Park</t>
  </si>
  <si>
    <t>Birch-S Park</t>
  </si>
  <si>
    <t>Ped Buffer</t>
  </si>
  <si>
    <t>Bus Pass.</t>
  </si>
  <si>
    <t>Buffer, N</t>
  </si>
  <si>
    <t>Buffer, S</t>
  </si>
  <si>
    <t>Cleaves-Sunol</t>
  </si>
  <si>
    <t>Segment: Cleaves-Sunol</t>
  </si>
  <si>
    <t>Buffer includes up to W. Villa on N side</t>
  </si>
  <si>
    <t>Castro &amp;</t>
  </si>
  <si>
    <t>Stop, W, Ft.</t>
  </si>
  <si>
    <t>Stop, W, M</t>
  </si>
  <si>
    <t>Rail  Pass.</t>
  </si>
  <si>
    <t xml:space="preserve">   </t>
  </si>
  <si>
    <t>W Evelyn</t>
  </si>
  <si>
    <t>W. Evelyn - Villa</t>
  </si>
  <si>
    <t>Villa-Dana</t>
  </si>
  <si>
    <t>Dana</t>
  </si>
  <si>
    <t>Dana - California</t>
  </si>
  <si>
    <t>California - Mercy</t>
  </si>
  <si>
    <t>N, M</t>
  </si>
  <si>
    <t>N, Ft.</t>
  </si>
  <si>
    <t>S, Ft.</t>
  </si>
  <si>
    <t>S, M</t>
  </si>
  <si>
    <t>bus stops have no bus loading area on street</t>
  </si>
  <si>
    <t>Med. Area, Ft.</t>
  </si>
  <si>
    <t>Med., Area M</t>
  </si>
  <si>
    <t>N, Ft</t>
  </si>
  <si>
    <t>S, Ft</t>
  </si>
  <si>
    <t>Total Ped</t>
  </si>
  <si>
    <t>Buffer, Ft.</t>
  </si>
  <si>
    <t>Buffer, M</t>
  </si>
  <si>
    <t>W, Ft</t>
  </si>
  <si>
    <t>Ped Buffer, % Total Length</t>
  </si>
  <si>
    <t>The Alameda &amp;</t>
  </si>
  <si>
    <t>S side cross-</t>
  </si>
  <si>
    <t>street L = 182 ft</t>
  </si>
  <si>
    <t>Morrison-Stockton</t>
  </si>
  <si>
    <t>Totals</t>
  </si>
  <si>
    <t>TOTAL PERM SURFACE</t>
  </si>
  <si>
    <t>California &amp;</t>
  </si>
  <si>
    <t>Scores:</t>
  </si>
  <si>
    <t>Key -</t>
  </si>
  <si>
    <t>a- = 4.0</t>
  </si>
  <si>
    <t>a- = 3.75</t>
  </si>
  <si>
    <t>b- = 2.75</t>
  </si>
  <si>
    <t>c+ = 2.25</t>
  </si>
  <si>
    <t>c- = 1.75</t>
  </si>
  <si>
    <t>c = 2.0</t>
  </si>
  <si>
    <t>d+ = 1.25</t>
  </si>
  <si>
    <t>d = 1.0</t>
  </si>
  <si>
    <t xml:space="preserve"> f = 0.0</t>
  </si>
  <si>
    <t>b= 3.0</t>
  </si>
  <si>
    <t>b+ = 3.25</t>
  </si>
  <si>
    <t>d- = 0 .75</t>
  </si>
  <si>
    <t>e= 0.5</t>
  </si>
  <si>
    <t>Streets:</t>
  </si>
  <si>
    <t>CA = California Avenue</t>
  </si>
  <si>
    <t>SC = San Carlos Avenue</t>
  </si>
  <si>
    <t>"STREETS OF CLAY"  VISUAL ASSESSMENT</t>
  </si>
  <si>
    <t xml:space="preserve">Grader </t>
  </si>
  <si>
    <t>Driveways, Residential</t>
  </si>
  <si>
    <t>Street Grade Pedestrian Buffer</t>
  </si>
  <si>
    <t>Intersection Ped&amp;Bike counts, MidDay</t>
  </si>
  <si>
    <t>Curbside Parking (yes/no/meters/free)</t>
  </si>
  <si>
    <t>Average Daily Traffic (ADT)</t>
  </si>
  <si>
    <t>Transit Level of Service (LOS)</t>
  </si>
  <si>
    <t>Ped Level of Service (LOS)</t>
  </si>
  <si>
    <t>Bike Level of Service (LOS)</t>
  </si>
  <si>
    <t>Note: one grade given as "either B or C" = 2.5</t>
  </si>
  <si>
    <t>Street Focus</t>
  </si>
  <si>
    <t>Done:</t>
  </si>
  <si>
    <t>To Do:</t>
  </si>
  <si>
    <t>Underway</t>
  </si>
  <si>
    <t>not applicable:</t>
  </si>
  <si>
    <t>Building Square Feet by Land Use</t>
  </si>
  <si>
    <t>Land Use Inventory (informal)</t>
  </si>
  <si>
    <t>Land Use Zoning by Property</t>
  </si>
  <si>
    <t>Effective ROW Width</t>
  </si>
  <si>
    <t>Curb to Curb Width</t>
  </si>
  <si>
    <t xml:space="preserve">not available/ </t>
  </si>
  <si>
    <t>"Street of Clay" Data List</t>
  </si>
  <si>
    <t>KING-</t>
  </si>
  <si>
    <t>EMBARCADERO</t>
  </si>
  <si>
    <t>LOMBARD</t>
  </si>
  <si>
    <t>SAN CARLOS</t>
  </si>
  <si>
    <t>CASTRO</t>
  </si>
  <si>
    <t>THE ALAMEDA</t>
  </si>
  <si>
    <t>"STREETS OF CLAY"  PED &amp; BIKE CALCULATIONS</t>
  </si>
  <si>
    <t>KE = King - The Embarcadero</t>
  </si>
  <si>
    <t>TA = The Alameda</t>
  </si>
  <si>
    <t>LS = Lombard Street</t>
  </si>
  <si>
    <t>CS = Castro Street</t>
  </si>
  <si>
    <t>THE</t>
  </si>
  <si>
    <t>ALAMDEA</t>
  </si>
  <si>
    <t>KING - THE</t>
  </si>
  <si>
    <t>SAN</t>
  </si>
  <si>
    <t>CARLOS</t>
  </si>
  <si>
    <t>CALIFORNIA</t>
  </si>
  <si>
    <t>Subtotal, MidDay</t>
  </si>
  <si>
    <t>Subtotal, Midday</t>
  </si>
  <si>
    <t>"STREETS OF CLAY" VEHICLE CALCULATIONS</t>
  </si>
  <si>
    <t>Key:</t>
  </si>
  <si>
    <t>EB = east bound</t>
  </si>
  <si>
    <t>WB = west bound</t>
  </si>
  <si>
    <t>MV = motor vehicle</t>
  </si>
  <si>
    <t>2xl = two axles</t>
  </si>
  <si>
    <t>3xl = three axles</t>
  </si>
  <si>
    <t>VOR = vehicle occupancy rate</t>
  </si>
  <si>
    <t>NM = nonmotorized</t>
  </si>
  <si>
    <t>V = vehicle</t>
  </si>
  <si>
    <t>41-48</t>
  </si>
  <si>
    <t>72-75</t>
  </si>
  <si>
    <t>7:54-9:56</t>
  </si>
  <si>
    <t>55-61</t>
  </si>
  <si>
    <t>% Share, All MV</t>
  </si>
  <si>
    <t>% Share, MV</t>
  </si>
  <si>
    <t>Lt. = Light</t>
  </si>
  <si>
    <t>16-34 mph</t>
  </si>
  <si>
    <t>12-32 mph</t>
  </si>
  <si>
    <t>11-31 mph</t>
  </si>
  <si>
    <t>17-38 mph</t>
  </si>
  <si>
    <t>20-42 mph</t>
  </si>
  <si>
    <t>20-47 mph</t>
  </si>
  <si>
    <t>20-50 mph</t>
  </si>
  <si>
    <t>22-46 mph</t>
  </si>
  <si>
    <t>20-40 mph</t>
  </si>
  <si>
    <t>18-44 mph</t>
  </si>
  <si>
    <t>Ped Interactions:</t>
  </si>
  <si>
    <t>Sitting</t>
  </si>
  <si>
    <t>"STREETS OF CLAY" PEDESTRIAN INTERACTIONS CALCULATIONS</t>
  </si>
  <si>
    <t>Data Element or Procedure:</t>
  </si>
  <si>
    <t>Intersection Ped&amp;Bike counts, PM</t>
  </si>
  <si>
    <t>Peds @ Mid-block Crosswalks, PM</t>
  </si>
  <si>
    <t>Driveways, Commercial</t>
  </si>
  <si>
    <t>Segment:Dana -California</t>
  </si>
  <si>
    <t>comm. = commercial</t>
  </si>
  <si>
    <t>res. = residential</t>
  </si>
  <si>
    <t>perm. = permeable</t>
  </si>
  <si>
    <t>"green gaps" = parklands, lawn, etc.</t>
  </si>
  <si>
    <t>Block</t>
  </si>
  <si>
    <t>Face</t>
  </si>
  <si>
    <t>Street Grade</t>
  </si>
  <si>
    <t>lt. = light</t>
  </si>
  <si>
    <t>pi=</t>
  </si>
  <si>
    <t>Street Section/          # trees</t>
  </si>
  <si>
    <t xml:space="preserve">Street Section/           # trees </t>
  </si>
  <si>
    <t>Street Section/           # trees</t>
  </si>
  <si>
    <t>pi =</t>
  </si>
  <si>
    <t>AND USE</t>
  </si>
  <si>
    <t>STREET PHYSICAL CHARACTRISTICS AND USE</t>
  </si>
  <si>
    <t>Notes:</t>
  </si>
  <si>
    <t>Eff = effective</t>
  </si>
  <si>
    <t>ROW = right of way</t>
  </si>
  <si>
    <t>OWS = outside of sidewalk</t>
  </si>
  <si>
    <t>SW= sidewalk (footpath)</t>
  </si>
  <si>
    <t>med = median</t>
  </si>
  <si>
    <t>Xwalk = crosswalk</t>
  </si>
  <si>
    <t>Priv. = private</t>
  </si>
  <si>
    <t>imperm = impermeable</t>
  </si>
  <si>
    <t xml:space="preserve">ROW Allocation </t>
  </si>
  <si>
    <t>TOTAL ROW ALOCATION</t>
  </si>
  <si>
    <t>L = length</t>
  </si>
  <si>
    <t>W = width</t>
  </si>
  <si>
    <t>ped = pedestrian</t>
  </si>
  <si>
    <t>"STREETS OF CLAY" DATA INPUT SHEET:</t>
  </si>
  <si>
    <t>*incl .5 of ballpark access street, w side of King</t>
  </si>
  <si>
    <t>street,W side of King</t>
  </si>
  <si>
    <t>Cross*-</t>
  </si>
  <si>
    <t>KING-EMBARCADERO</t>
  </si>
  <si>
    <t>Shared with Bikes**</t>
  </si>
  <si>
    <t>without bike lanes</t>
  </si>
  <si>
    <t xml:space="preserve">** only sements </t>
  </si>
  <si>
    <t>MV SPACE</t>
  </si>
  <si>
    <t>*includes median, sidestreets in ROW, café space</t>
  </si>
  <si>
    <t xml:space="preserve"> at grade, plaza space, and other</t>
  </si>
  <si>
    <t>subtracts protected xwalks</t>
  </si>
  <si>
    <t>"STREETS OF CLAY" ASSESSMENT METRICS</t>
  </si>
  <si>
    <t>SMALL CITY "MAIN STREETS"</t>
  </si>
  <si>
    <t>ROW % - Transit (Dedicated)</t>
  </si>
  <si>
    <t>ROW % - Peds (Dedicated)</t>
  </si>
  <si>
    <t>ROW % - Bikes (Dedicated)</t>
  </si>
  <si>
    <t>ROW % - Tree Canopy</t>
  </si>
  <si>
    <t>ROW APPORTIONMENT</t>
  </si>
  <si>
    <t>MODAL USE</t>
  </si>
  <si>
    <t>METRIC</t>
  </si>
  <si>
    <t>STREET</t>
  </si>
  <si>
    <t>ROW % - Nature (Permeable)</t>
  </si>
  <si>
    <t>VEHICLE OPERATIONS</t>
  </si>
  <si>
    <t>%, "Green Gaps"</t>
  </si>
  <si>
    <t>% Pedestrian Buffer (at street grade)</t>
  </si>
  <si>
    <t>STREET FRONTAGE APPORTIONMENT</t>
  </si>
  <si>
    <t>NON-MOTORIZED MODES ACTIVITY</t>
  </si>
  <si>
    <t>Pedestrians Along per Observer Minute</t>
  </si>
  <si>
    <t>Total Pedestrians per Observer Minute</t>
  </si>
  <si>
    <t>Bicycles To/from/Along per Observer Minute</t>
  </si>
  <si>
    <t>Bicycles Across per Observer Minute</t>
  </si>
  <si>
    <t>Total Bicycles per Observer Minute</t>
  </si>
  <si>
    <t>Pedestrian Interactions per Observer Minute</t>
  </si>
  <si>
    <t>Total Non-motorized Volume, per Observer Minute</t>
  </si>
  <si>
    <t># People Involved in Interactions per Observer Minute</t>
  </si>
  <si>
    <t>VISUAL ASSESSMENT</t>
  </si>
  <si>
    <t>Average Score</t>
  </si>
  <si>
    <t>Chairs</t>
  </si>
  <si>
    <t xml:space="preserve">Café </t>
  </si>
  <si>
    <t>Chairs, KM</t>
  </si>
  <si>
    <t>Chairs, Mile</t>
  </si>
  <si>
    <t>23.10.07</t>
  </si>
  <si>
    <t>date:</t>
  </si>
  <si>
    <t>12.11.07</t>
  </si>
  <si>
    <t>16.11.07</t>
  </si>
  <si>
    <t>07.10.07</t>
  </si>
  <si>
    <t>06.10.07</t>
  </si>
  <si>
    <t>02.11.7</t>
  </si>
  <si>
    <t>OUTDOOR CAFÉ CAPACITY</t>
  </si>
  <si>
    <t>Café Chairs per Mile</t>
  </si>
  <si>
    <t>SOCIO-ECONOMIC</t>
  </si>
  <si>
    <t>KE = King Street - The Embarcadero</t>
  </si>
  <si>
    <t>ROW = Right-of-way</t>
  </si>
  <si>
    <t>peds = pedestrians</t>
  </si>
  <si>
    <t>KM = kilometer</t>
  </si>
  <si>
    <t>TBD = to be determined</t>
  </si>
  <si>
    <t>BIG CITY COMMERICAL ARTERIALS</t>
  </si>
  <si>
    <t>STREET USERS ASSESSMENTS</t>
  </si>
  <si>
    <t>BUSINESS ASSESSMENTS</t>
  </si>
  <si>
    <t>FOCUS GROUP ASSESSMENTS</t>
  </si>
  <si>
    <t>Themes</t>
  </si>
  <si>
    <t>Sense Minutes</t>
  </si>
  <si>
    <t>EXPERT ASSESSMENTS</t>
  </si>
  <si>
    <t>M = meters</t>
  </si>
  <si>
    <t>ADT:</t>
  </si>
  <si>
    <t>19,000 -21,000</t>
  </si>
  <si>
    <t>ADT = aveage daily traffic</t>
  </si>
  <si>
    <t>11,000 - 20,000</t>
  </si>
  <si>
    <t>Pedestrians Across per Observer Minute</t>
  </si>
  <si>
    <t>ROW % - Motor Vehicles (Net)</t>
  </si>
  <si>
    <t>Average Daily Motor Vehicle Traffic (ADT)</t>
  </si>
  <si>
    <t>Personal Motor Vehicle Occupancy (VOR)</t>
  </si>
  <si>
    <t>%, Frontage Gaps</t>
  </si>
  <si>
    <t>Café Chairs per Kilometer</t>
  </si>
  <si>
    <t>Population within .25 mile, .4 Kilometer radius</t>
  </si>
  <si>
    <t>Employment within .25 mile, .4 Kilometer radius</t>
  </si>
  <si>
    <t>n</t>
  </si>
  <si>
    <t xml:space="preserve">outside curb </t>
  </si>
  <si>
    <t>AU date</t>
  </si>
  <si>
    <t>outside curb</t>
  </si>
  <si>
    <t>Transit Loading (Rail)</t>
  </si>
  <si>
    <t>ROW % - NM Modes (Dedicated)</t>
  </si>
  <si>
    <t>TOTAL NM</t>
  </si>
  <si>
    <t>Pedestrians Standing per Observer Minute</t>
  </si>
  <si>
    <t>Pedestrian Sitting per Observer Minute</t>
  </si>
  <si>
    <t>Safe, Very</t>
  </si>
  <si>
    <t>Active, Very</t>
  </si>
  <si>
    <t>As Place to do Business, Very</t>
  </si>
  <si>
    <t>Convenient, Not at all</t>
  </si>
  <si>
    <t>Safe, Not at all</t>
  </si>
  <si>
    <t>Comfortable, Not at all</t>
  </si>
  <si>
    <t>Attractvie, Very</t>
  </si>
  <si>
    <t>Attractive, Not all all</t>
  </si>
  <si>
    <t>Convenient, Very</t>
  </si>
  <si>
    <t>Comfortable, Very</t>
  </si>
  <si>
    <t>Active, Not at all</t>
  </si>
  <si>
    <t>TOTAL %</t>
  </si>
  <si>
    <t>Green</t>
  </si>
  <si>
    <t>85% Motor Vehicle Speeds, Entry (MPH)</t>
  </si>
  <si>
    <t>85% Motor Vehicle Speeds, Mid-section (MPH)</t>
  </si>
  <si>
    <t>50% Motor Vehicle Speeds, Entry (MPH)</t>
  </si>
  <si>
    <t>50% Motor Vehicle Speeds, Mid-section (MPH)</t>
  </si>
  <si>
    <t>Motor Vehicle Speeds, Range, Entry (MPH)</t>
  </si>
  <si>
    <t>Motor Vehicle Speeds, Range, Mid-section (MPH)</t>
  </si>
  <si>
    <t>Speed Limt</t>
  </si>
  <si>
    <t>30-25</t>
  </si>
  <si>
    <t>Change (MPH)</t>
  </si>
  <si>
    <t>Over/Under Speed Limit at Mid-secton (MPH)</t>
  </si>
  <si>
    <t>% Personal Cars &amp; Lt. Trucks (% of all street modes)</t>
  </si>
  <si>
    <t>% Commercial Trucks (Light; % of all street modes)</t>
  </si>
  <si>
    <t>% Commercial Trucks (Heavy % of all street modes)</t>
  </si>
  <si>
    <t>% Motorcycles (% of all street modes)</t>
  </si>
  <si>
    <t>% Buses (% of all street modes)</t>
  </si>
  <si>
    <t>% Taxis, Limos (% of all street modes)</t>
  </si>
  <si>
    <t>% Bicycles (% of all street modes)</t>
  </si>
  <si>
    <t>% Non-motorized (% of all street modes)</t>
  </si>
  <si>
    <t>As Place to do Business, Not at all</t>
  </si>
  <si>
    <t>Transit timetables, fall 2007</t>
  </si>
  <si>
    <t>Median Household Income (2000)</t>
  </si>
  <si>
    <t>GG</t>
  </si>
  <si>
    <t>Boardings</t>
  </si>
  <si>
    <t>Avg. Weekday</t>
  </si>
  <si>
    <t>Muni</t>
  </si>
  <si>
    <t>route 28</t>
  </si>
  <si>
    <t>Oct 2006 - June 2007</t>
  </si>
  <si>
    <t>route 43</t>
  </si>
  <si>
    <t xml:space="preserve"> N line</t>
  </si>
  <si>
    <t>T line</t>
  </si>
  <si>
    <t>Caltrain</t>
  </si>
  <si>
    <t>15-22 MAY 2008</t>
  </si>
  <si>
    <t>Trips,</t>
  </si>
  <si>
    <t>Weekday</t>
  </si>
  <si>
    <t>On Street</t>
  </si>
  <si>
    <t>Adjacent to</t>
  </si>
  <si>
    <t>SC+ElCR</t>
  </si>
  <si>
    <t>14-20 MAY 2008</t>
  </si>
  <si>
    <t>KX</t>
  </si>
  <si>
    <t>PX</t>
  </si>
  <si>
    <t>route 30</t>
  </si>
  <si>
    <t>Route 43</t>
  </si>
  <si>
    <t>route 30X</t>
  </si>
  <si>
    <t>Adjacent  to</t>
  </si>
  <si>
    <t>Route 10</t>
  </si>
  <si>
    <t>Marguerite</t>
  </si>
  <si>
    <t>Adjacent</t>
  </si>
  <si>
    <t>Samtrans</t>
  </si>
  <si>
    <t>MV Station</t>
  </si>
  <si>
    <t>VTA lt rail</t>
  </si>
  <si>
    <t>VTA bus</t>
  </si>
  <si>
    <t xml:space="preserve">VTA light rail </t>
  </si>
  <si>
    <t>Will not</t>
  </si>
  <si>
    <t>use</t>
  </si>
  <si>
    <t>per mile/km</t>
  </si>
  <si>
    <t>% LF, meters</t>
  </si>
  <si>
    <t>Restaurant Frontage</t>
  </si>
  <si>
    <t>Retail Frontage</t>
  </si>
  <si>
    <t>background</t>
  </si>
  <si>
    <t>descriptive</t>
  </si>
  <si>
    <t>ROW, Peds</t>
  </si>
  <si>
    <t>ROW, Bikes</t>
  </si>
  <si>
    <t>ROW, Transit</t>
  </si>
  <si>
    <t>ROW, MV</t>
  </si>
  <si>
    <t>ROW, Nature</t>
  </si>
  <si>
    <t>descriptive if available</t>
  </si>
  <si>
    <t>Population, 2007</t>
  </si>
  <si>
    <t>Employment, 2007</t>
  </si>
  <si>
    <t>Retail Employment, 2007</t>
  </si>
  <si>
    <t>as  available</t>
  </si>
  <si>
    <t>Ped Connections</t>
  </si>
  <si>
    <t>#, mile, kilometer</t>
  </si>
  <si>
    <t>Building Vacanies, 2007</t>
  </si>
  <si>
    <t>Variable:</t>
  </si>
  <si>
    <t>D or I?</t>
  </si>
  <si>
    <t>#, Obs. Min</t>
  </si>
  <si>
    <t>People/Ped Interactions, PM</t>
  </si>
  <si>
    <t>People/Ped Interactions, MidDay</t>
  </si>
  <si>
    <t>descriptivve</t>
  </si>
  <si>
    <t>% Eff ROW</t>
  </si>
  <si>
    <t>ped permeability</t>
  </si>
  <si>
    <t>#, in thousands</t>
  </si>
  <si>
    <t>adjust for rail?</t>
  </si>
  <si>
    <t>Transit Boardings, Avg. Weekday</t>
  </si>
  <si>
    <t xml:space="preserve">informal land use inventory </t>
  </si>
  <si>
    <t>Street User Surveys, Comfort</t>
  </si>
  <si>
    <t>Street User Surveys, Convenience</t>
  </si>
  <si>
    <t>Street User Surveys, Safety</t>
  </si>
  <si>
    <t>Street User Surveys, Attractiveness</t>
  </si>
  <si>
    <t>% "Very"</t>
  </si>
  <si>
    <t>Business Users Survey, "Place to Do Business"</t>
  </si>
  <si>
    <t>% "Excellent"</t>
  </si>
  <si>
    <t>Street User Surveys, Key Words</t>
  </si>
  <si>
    <t>% Very</t>
  </si>
  <si>
    <t>Business Users Survey, Key Words</t>
  </si>
  <si>
    <t>Focus Group Sessions, Themes, Key Words</t>
  </si>
  <si>
    <t>Score</t>
  </si>
  <si>
    <t>I</t>
  </si>
  <si>
    <t xml:space="preserve">D </t>
  </si>
  <si>
    <t>D</t>
  </si>
  <si>
    <t>Rail Platforms</t>
  </si>
  <si>
    <t>I,D</t>
  </si>
  <si>
    <t>Employment and Populaton within .25 mile, .4 KM</t>
  </si>
  <si>
    <t>Retail</t>
  </si>
  <si>
    <t>Restaurant</t>
  </si>
  <si>
    <t>need to listen to tapes and note</t>
  </si>
  <si>
    <t>nedd to complete surveys; note themes</t>
  </si>
  <si>
    <t>Vacant</t>
  </si>
  <si>
    <t>MF Frontage</t>
  </si>
  <si>
    <t>Vacant Frontage</t>
  </si>
  <si>
    <t>New methodology?</t>
  </si>
  <si>
    <t>Retail LF</t>
  </si>
  <si>
    <t>Restr. LF</t>
  </si>
  <si>
    <t>Civic</t>
  </si>
  <si>
    <t>strip mall</t>
  </si>
  <si>
    <t>retail</t>
  </si>
  <si>
    <t>restr.</t>
  </si>
  <si>
    <t>vacant</t>
  </si>
  <si>
    <t xml:space="preserve">Per </t>
  </si>
  <si>
    <t>Mile</t>
  </si>
  <si>
    <t>Per</t>
  </si>
  <si>
    <t>KM</t>
  </si>
  <si>
    <t>09.26.08</t>
  </si>
  <si>
    <t>13:57-15:57</t>
  </si>
  <si>
    <t>Peral Lane/Ash/Park</t>
  </si>
  <si>
    <t>Retail Frontage, per Mile</t>
  </si>
  <si>
    <t>Retail Frontage, per KM</t>
  </si>
  <si>
    <t>Restaurant Frontage, per Mile</t>
  </si>
  <si>
    <t>Restaurant Frontage, per KM</t>
  </si>
  <si>
    <t>Vacant Street Frontage, per Mile</t>
  </si>
  <si>
    <t>Vacant Street Frontage, per KM</t>
  </si>
  <si>
    <t>Restaurant &amp; Retail Frontage, per Mile</t>
  </si>
  <si>
    <t>Restaurant &amp; Retail Frontage, per KM</t>
  </si>
  <si>
    <t>Lateral</t>
  </si>
  <si>
    <t>Pedestrian Lateral Connections, per KM</t>
  </si>
  <si>
    <t>Pedestrian Lateral Connections, per Mile</t>
  </si>
  <si>
    <t>Commercial Driveways, Mile</t>
  </si>
  <si>
    <t>Commercial Driveways, KM</t>
  </si>
  <si>
    <t>Sept2007-December 2007</t>
  </si>
  <si>
    <t xml:space="preserve">ACE </t>
  </si>
  <si>
    <t>Capitols</t>
  </si>
  <si>
    <t>N line</t>
  </si>
  <si>
    <t>Daily Transit Boardings On Street, per Mile</t>
  </si>
  <si>
    <t>Daily Transit Boardings On Street , per KM</t>
  </si>
  <si>
    <t># of Through Lanes</t>
  </si>
  <si>
    <t>Route 54.70.72.73.76.80,93</t>
  </si>
  <si>
    <t>Source GG Transit</t>
  </si>
  <si>
    <t>t</t>
  </si>
  <si>
    <t>Daily Bus Transit  Headways, Adjacent</t>
  </si>
  <si>
    <t xml:space="preserve">Daily  Light Rail Transit Headways,  Adjacent </t>
  </si>
  <si>
    <t>Daily  Light Rail Transit Headways, On</t>
  </si>
  <si>
    <t>Daily Bus Transit  Headways,On</t>
  </si>
  <si>
    <t>185 trips</t>
  </si>
  <si>
    <t>Route 22</t>
  </si>
  <si>
    <t>Route 41</t>
  </si>
  <si>
    <t>Route 45</t>
  </si>
  <si>
    <t>Presidio Go</t>
  </si>
  <si>
    <t>na</t>
  </si>
  <si>
    <t>Route 30</t>
  </si>
  <si>
    <t>Route 47</t>
  </si>
  <si>
    <t>Route 80x</t>
  </si>
  <si>
    <t>Route 81x</t>
  </si>
  <si>
    <t>Route 82x</t>
  </si>
  <si>
    <t>Oct 2006 - Sept 2008</t>
  </si>
  <si>
    <t>Capitol Corridor Bus</t>
  </si>
  <si>
    <t>San Joaquin Bus</t>
  </si>
  <si>
    <t>235 Trips</t>
  </si>
  <si>
    <t>250 Trips</t>
  </si>
  <si>
    <t>VTA</t>
  </si>
  <si>
    <t>DB1</t>
  </si>
  <si>
    <t>DB3</t>
  </si>
  <si>
    <t>DB</t>
  </si>
  <si>
    <t>SE, VA</t>
  </si>
  <si>
    <t>C</t>
  </si>
  <si>
    <t>Routes 22 and 522</t>
  </si>
  <si>
    <t>San Joaquin</t>
  </si>
  <si>
    <t>MST Bus</t>
  </si>
  <si>
    <t>Hwy 17 Bus</t>
  </si>
  <si>
    <t>Coast Starlight</t>
  </si>
  <si>
    <t>DASH</t>
  </si>
  <si>
    <t xml:space="preserve">ACE Bus </t>
  </si>
  <si>
    <t>ACE Rail</t>
  </si>
  <si>
    <t>VTA Bus</t>
  </si>
  <si>
    <t>177 line 22, 113 line 522, 62 line 63</t>
  </si>
  <si>
    <t>Route length</t>
  </si>
  <si>
    <t>Miles</t>
  </si>
  <si>
    <t>Boarding per</t>
  </si>
  <si>
    <t>Transit Stops</t>
  </si>
  <si>
    <t>Transit Stops per</t>
  </si>
  <si>
    <t>Transit Stops, Per KM</t>
  </si>
  <si>
    <t>Transit Stops, Per Mile</t>
  </si>
  <si>
    <t>Daily Regional &amp; Intercity Rail Headways, Adjacent</t>
  </si>
  <si>
    <t>within .25 miles, .4KM</t>
  </si>
  <si>
    <t>within .5 miles, .8KM</t>
  </si>
  <si>
    <t>Average Rating</t>
  </si>
  <si>
    <t>ROW% - Alternative Modes (Dedicated)</t>
  </si>
  <si>
    <t>ROW % - Alternative Modes (Dedicated) &amp; Nature</t>
  </si>
  <si>
    <t>Dependent</t>
  </si>
  <si>
    <t>Independent</t>
  </si>
  <si>
    <t>Both</t>
  </si>
  <si>
    <t>Variables</t>
  </si>
  <si>
    <t>BICYCLE &amp; PEDESTRIAN CONTEXT</t>
  </si>
  <si>
    <t>Bike Racks, per Mile</t>
  </si>
  <si>
    <t>Bike Racks, per KM</t>
  </si>
  <si>
    <t>Crosswalks Across, per Mile</t>
  </si>
  <si>
    <t>Cosswalks Across, per KM</t>
  </si>
  <si>
    <t>Crosswalks Along, per Mile</t>
  </si>
  <si>
    <t>Crosswalks Along, per KM</t>
  </si>
  <si>
    <t>Total Crosswalks, per Mile</t>
  </si>
  <si>
    <t>Total Crosswalks, per KM</t>
  </si>
  <si>
    <t>CSgroup</t>
  </si>
  <si>
    <t>CAgroup</t>
  </si>
  <si>
    <t>SCgroup</t>
  </si>
  <si>
    <t>LSgroup</t>
  </si>
  <si>
    <t>KEgroup</t>
  </si>
  <si>
    <t>TA group</t>
  </si>
  <si>
    <t>cfil</t>
  </si>
  <si>
    <t>dgjm</t>
  </si>
  <si>
    <t>ehkn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</si>
</sst>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0.0"/>
    <numFmt numFmtId="165" formatCode="#,##0.0"/>
    <numFmt numFmtId="166" formatCode="0.000"/>
    <numFmt numFmtId="167" formatCode="h:mm:ss;@"/>
    <numFmt numFmtId="168" formatCode="0.0%"/>
    <numFmt numFmtId="169" formatCode="0.0000"/>
  </numFmts>
  <fonts count="5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9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i/>
      <sz val="10"/>
      <color indexed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i/>
      <sz val="10"/>
      <color indexed="56"/>
      <name val="Arial"/>
      <family val="2"/>
    </font>
    <font>
      <sz val="10"/>
      <color indexed="6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u/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sz val="12"/>
      <name val="Times New Roman"/>
      <family val="1"/>
    </font>
    <font>
      <b/>
      <sz val="10"/>
      <color indexed="62"/>
      <name val="Arial"/>
      <family val="2"/>
    </font>
    <font>
      <b/>
      <i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49"/>
      <name val="Arial"/>
      <family val="2"/>
    </font>
    <font>
      <b/>
      <sz val="10"/>
      <color indexed="4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0"/>
      <name val="Arial"/>
      <family val="2"/>
    </font>
    <font>
      <b/>
      <sz val="10"/>
      <color indexed="60"/>
      <name val="Arial"/>
      <family val="2"/>
    </font>
    <font>
      <sz val="10"/>
      <color indexed="17"/>
      <name val="Arial"/>
      <family val="2"/>
    </font>
    <font>
      <b/>
      <sz val="10"/>
      <color indexed="18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b/>
      <sz val="10"/>
      <color indexed="30"/>
      <name val="Arial"/>
      <family val="2"/>
    </font>
    <font>
      <sz val="10"/>
      <color indexed="56"/>
      <name val="Arial"/>
      <family val="2"/>
    </font>
    <font>
      <sz val="10"/>
      <color indexed="18"/>
      <name val="Arial"/>
      <family val="2"/>
    </font>
    <font>
      <sz val="11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10"/>
      <color indexed="10"/>
      <name val="Arial"/>
      <family val="2"/>
    </font>
    <font>
      <b/>
      <sz val="10"/>
      <color indexed="56"/>
      <name val="Arial"/>
      <family val="2"/>
    </font>
    <font>
      <b/>
      <sz val="10"/>
      <color indexed="60"/>
      <name val="Arial"/>
      <family val="2"/>
    </font>
    <font>
      <b/>
      <i/>
      <sz val="10"/>
      <color indexed="10"/>
      <name val="Arial"/>
      <family val="2"/>
    </font>
    <font>
      <b/>
      <sz val="10"/>
      <color indexed="18"/>
      <name val="Arial"/>
      <family val="2"/>
    </font>
    <font>
      <b/>
      <i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8"/>
      <name val="Arial"/>
      <family val="2"/>
    </font>
    <font>
      <sz val="8"/>
      <name val="Arial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22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047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2" fontId="2" fillId="0" borderId="0" xfId="0" applyNumberFormat="1" applyFont="1"/>
    <xf numFmtId="165" fontId="0" fillId="0" borderId="0" xfId="0" applyNumberFormat="1"/>
    <xf numFmtId="2" fontId="0" fillId="0" borderId="0" xfId="0" applyNumberFormat="1"/>
    <xf numFmtId="164" fontId="2" fillId="0" borderId="0" xfId="0" applyNumberFormat="1" applyFont="1"/>
    <xf numFmtId="2" fontId="3" fillId="0" borderId="0" xfId="0" applyNumberFormat="1" applyFont="1"/>
    <xf numFmtId="10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0" fontId="10" fillId="0" borderId="1" xfId="0" applyFont="1" applyBorder="1"/>
    <xf numFmtId="0" fontId="2" fillId="0" borderId="0" xfId="0" applyFont="1" applyBorder="1"/>
    <xf numFmtId="0" fontId="0" fillId="0" borderId="0" xfId="0" applyBorder="1"/>
    <xf numFmtId="0" fontId="10" fillId="0" borderId="0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0" fontId="2" fillId="0" borderId="0" xfId="0" applyNumberFormat="1" applyFont="1" applyAlignment="1">
      <alignment horizontal="center"/>
    </xf>
    <xf numFmtId="0" fontId="10" fillId="0" borderId="0" xfId="0" applyFont="1" applyBorder="1" applyAlignment="1">
      <alignment horizontal="left"/>
    </xf>
    <xf numFmtId="0" fontId="0" fillId="0" borderId="3" xfId="0" applyBorder="1" applyAlignment="1">
      <alignment horizontal="center"/>
    </xf>
    <xf numFmtId="20" fontId="0" fillId="0" borderId="0" xfId="0" applyNumberFormat="1" applyBorder="1" applyAlignment="1">
      <alignment horizontal="center"/>
    </xf>
    <xf numFmtId="0" fontId="2" fillId="0" borderId="4" xfId="0" applyFont="1" applyBorder="1"/>
    <xf numFmtId="164" fontId="0" fillId="0" borderId="0" xfId="0" applyNumberFormat="1" applyFill="1" applyBorder="1"/>
    <xf numFmtId="20" fontId="2" fillId="0" borderId="0" xfId="0" applyNumberFormat="1" applyFont="1" applyBorder="1" applyAlignment="1">
      <alignment horizontal="center"/>
    </xf>
    <xf numFmtId="0" fontId="2" fillId="0" borderId="5" xfId="0" applyFont="1" applyBorder="1"/>
    <xf numFmtId="0" fontId="2" fillId="0" borderId="3" xfId="0" applyFont="1" applyBorder="1"/>
    <xf numFmtId="0" fontId="0" fillId="0" borderId="1" xfId="0" applyBorder="1"/>
    <xf numFmtId="0" fontId="0" fillId="0" borderId="0" xfId="0" applyFill="1" applyBorder="1"/>
    <xf numFmtId="0" fontId="10" fillId="0" borderId="1" xfId="0" applyFont="1" applyFill="1" applyBorder="1"/>
    <xf numFmtId="0" fontId="2" fillId="0" borderId="6" xfId="0" applyFont="1" applyBorder="1"/>
    <xf numFmtId="0" fontId="2" fillId="0" borderId="7" xfId="0" applyFont="1" applyBorder="1"/>
    <xf numFmtId="0" fontId="0" fillId="0" borderId="7" xfId="0" applyBorder="1"/>
    <xf numFmtId="0" fontId="0" fillId="0" borderId="8" xfId="0" applyBorder="1"/>
    <xf numFmtId="167" fontId="0" fillId="0" borderId="0" xfId="0" applyNumberFormat="1" applyBorder="1"/>
    <xf numFmtId="21" fontId="0" fillId="0" borderId="0" xfId="0" applyNumberFormat="1" applyBorder="1"/>
    <xf numFmtId="164" fontId="0" fillId="0" borderId="0" xfId="0" applyNumberFormat="1" applyBorder="1"/>
    <xf numFmtId="1" fontId="0" fillId="0" borderId="0" xfId="0" applyNumberFormat="1" applyBorder="1"/>
    <xf numFmtId="164" fontId="3" fillId="0" borderId="0" xfId="0" applyNumberFormat="1" applyFont="1"/>
    <xf numFmtId="0" fontId="0" fillId="0" borderId="5" xfId="0" applyBorder="1"/>
    <xf numFmtId="0" fontId="2" fillId="0" borderId="9" xfId="0" applyFont="1" applyBorder="1"/>
    <xf numFmtId="0" fontId="4" fillId="0" borderId="10" xfId="0" applyFont="1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6" xfId="0" applyFont="1" applyBorder="1" applyAlignment="1">
      <alignment horizontal="right"/>
    </xf>
    <xf numFmtId="0" fontId="0" fillId="0" borderId="6" xfId="0" applyBorder="1"/>
    <xf numFmtId="0" fontId="2" fillId="0" borderId="15" xfId="0" applyFont="1" applyBorder="1" applyAlignment="1">
      <alignment horizontal="right"/>
    </xf>
    <xf numFmtId="0" fontId="0" fillId="0" borderId="7" xfId="0" applyBorder="1" applyAlignment="1">
      <alignment horizontal="right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/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165" fontId="2" fillId="0" borderId="0" xfId="0" applyNumberFormat="1" applyFont="1" applyBorder="1"/>
    <xf numFmtId="0" fontId="13" fillId="0" borderId="0" xfId="0" applyFont="1"/>
    <xf numFmtId="0" fontId="2" fillId="0" borderId="0" xfId="0" applyFont="1" applyFill="1" applyBorder="1"/>
    <xf numFmtId="0" fontId="2" fillId="0" borderId="17" xfId="0" applyFont="1" applyBorder="1"/>
    <xf numFmtId="0" fontId="3" fillId="0" borderId="0" xfId="0" applyFont="1" applyBorder="1"/>
    <xf numFmtId="164" fontId="2" fillId="0" borderId="10" xfId="0" applyNumberFormat="1" applyFont="1" applyBorder="1"/>
    <xf numFmtId="0" fontId="14" fillId="0" borderId="16" xfId="0" applyFont="1" applyBorder="1"/>
    <xf numFmtId="164" fontId="15" fillId="0" borderId="10" xfId="0" applyNumberFormat="1" applyFont="1" applyBorder="1"/>
    <xf numFmtId="2" fontId="15" fillId="0" borderId="10" xfId="0" applyNumberFormat="1" applyFont="1" applyBorder="1"/>
    <xf numFmtId="0" fontId="15" fillId="0" borderId="10" xfId="0" applyFont="1" applyBorder="1"/>
    <xf numFmtId="0" fontId="4" fillId="0" borderId="0" xfId="0" applyFont="1" applyBorder="1" applyAlignment="1">
      <alignment horizontal="left"/>
    </xf>
    <xf numFmtId="164" fontId="15" fillId="0" borderId="0" xfId="0" applyNumberFormat="1" applyFont="1" applyBorder="1"/>
    <xf numFmtId="0" fontId="0" fillId="0" borderId="5" xfId="0" applyFill="1" applyBorder="1"/>
    <xf numFmtId="0" fontId="10" fillId="0" borderId="5" xfId="0" applyFont="1" applyFill="1" applyBorder="1"/>
    <xf numFmtId="0" fontId="14" fillId="0" borderId="16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7" fillId="0" borderId="18" xfId="0" applyFont="1" applyBorder="1"/>
    <xf numFmtId="0" fontId="3" fillId="0" borderId="14" xfId="0" applyFont="1" applyBorder="1"/>
    <xf numFmtId="164" fontId="0" fillId="0" borderId="6" xfId="0" applyNumberFormat="1" applyBorder="1"/>
    <xf numFmtId="2" fontId="0" fillId="0" borderId="6" xfId="0" applyNumberFormat="1" applyBorder="1"/>
    <xf numFmtId="0" fontId="0" fillId="0" borderId="19" xfId="0" applyBorder="1"/>
    <xf numFmtId="2" fontId="0" fillId="0" borderId="0" xfId="0" applyNumberFormat="1" applyBorder="1"/>
    <xf numFmtId="0" fontId="0" fillId="0" borderId="18" xfId="0" applyBorder="1"/>
    <xf numFmtId="0" fontId="0" fillId="0" borderId="15" xfId="0" applyBorder="1"/>
    <xf numFmtId="164" fontId="2" fillId="0" borderId="0" xfId="0" applyNumberFormat="1" applyFont="1" applyBorder="1"/>
    <xf numFmtId="2" fontId="2" fillId="0" borderId="0" xfId="0" applyNumberFormat="1" applyFont="1" applyBorder="1"/>
    <xf numFmtId="0" fontId="0" fillId="0" borderId="9" xfId="0" applyBorder="1"/>
    <xf numFmtId="0" fontId="0" fillId="0" borderId="14" xfId="0" applyBorder="1"/>
    <xf numFmtId="0" fontId="0" fillId="0" borderId="20" xfId="0" applyBorder="1"/>
    <xf numFmtId="0" fontId="2" fillId="0" borderId="18" xfId="0" applyFont="1" applyBorder="1"/>
    <xf numFmtId="0" fontId="2" fillId="0" borderId="20" xfId="0" applyFont="1" applyBorder="1"/>
    <xf numFmtId="0" fontId="3" fillId="0" borderId="19" xfId="0" applyFont="1" applyBorder="1"/>
    <xf numFmtId="164" fontId="18" fillId="0" borderId="0" xfId="0" applyNumberFormat="1" applyFont="1" applyBorder="1"/>
    <xf numFmtId="0" fontId="18" fillId="0" borderId="0" xfId="0" applyFont="1"/>
    <xf numFmtId="0" fontId="0" fillId="0" borderId="16" xfId="0" applyBorder="1"/>
    <xf numFmtId="0" fontId="0" fillId="0" borderId="13" xfId="0" applyBorder="1"/>
    <xf numFmtId="0" fontId="2" fillId="0" borderId="10" xfId="0" applyFont="1" applyBorder="1"/>
    <xf numFmtId="164" fontId="18" fillId="0" borderId="10" xfId="0" applyNumberFormat="1" applyFont="1" applyBorder="1"/>
    <xf numFmtId="0" fontId="18" fillId="0" borderId="10" xfId="0" applyFont="1" applyBorder="1"/>
    <xf numFmtId="0" fontId="19" fillId="0" borderId="10" xfId="0" applyFont="1" applyBorder="1"/>
    <xf numFmtId="10" fontId="18" fillId="0" borderId="10" xfId="0" applyNumberFormat="1" applyFont="1" applyBorder="1"/>
    <xf numFmtId="4" fontId="18" fillId="0" borderId="10" xfId="0" applyNumberFormat="1" applyFont="1" applyBorder="1"/>
    <xf numFmtId="2" fontId="18" fillId="0" borderId="10" xfId="0" applyNumberFormat="1" applyFont="1" applyBorder="1"/>
    <xf numFmtId="165" fontId="18" fillId="0" borderId="10" xfId="0" applyNumberFormat="1" applyFont="1" applyBorder="1"/>
    <xf numFmtId="164" fontId="4" fillId="0" borderId="6" xfId="0" applyNumberFormat="1" applyFont="1" applyBorder="1"/>
    <xf numFmtId="2" fontId="4" fillId="0" borderId="6" xfId="0" applyNumberFormat="1" applyFont="1" applyBorder="1"/>
    <xf numFmtId="10" fontId="2" fillId="0" borderId="15" xfId="0" applyNumberFormat="1" applyFont="1" applyBorder="1"/>
    <xf numFmtId="0" fontId="2" fillId="0" borderId="19" xfId="0" applyFont="1" applyBorder="1"/>
    <xf numFmtId="164" fontId="4" fillId="0" borderId="0" xfId="0" applyNumberFormat="1" applyFont="1" applyBorder="1"/>
    <xf numFmtId="2" fontId="4" fillId="0" borderId="0" xfId="0" applyNumberFormat="1" applyFont="1" applyBorder="1"/>
    <xf numFmtId="10" fontId="2" fillId="0" borderId="21" xfId="0" applyNumberFormat="1" applyFont="1" applyBorder="1"/>
    <xf numFmtId="10" fontId="3" fillId="0" borderId="0" xfId="0" applyNumberFormat="1" applyFont="1" applyBorder="1"/>
    <xf numFmtId="164" fontId="2" fillId="0" borderId="21" xfId="0" applyNumberFormat="1" applyFont="1" applyBorder="1"/>
    <xf numFmtId="164" fontId="3" fillId="0" borderId="0" xfId="0" applyNumberFormat="1" applyFont="1" applyBorder="1"/>
    <xf numFmtId="10" fontId="0" fillId="0" borderId="0" xfId="0" applyNumberFormat="1" applyBorder="1"/>
    <xf numFmtId="0" fontId="4" fillId="0" borderId="0" xfId="0" applyFont="1" applyBorder="1"/>
    <xf numFmtId="168" fontId="2" fillId="0" borderId="21" xfId="0" applyNumberFormat="1" applyFont="1" applyBorder="1"/>
    <xf numFmtId="4" fontId="4" fillId="0" borderId="0" xfId="0" applyNumberFormat="1" applyFont="1" applyBorder="1"/>
    <xf numFmtId="165" fontId="2" fillId="0" borderId="7" xfId="0" applyNumberFormat="1" applyFont="1" applyBorder="1"/>
    <xf numFmtId="2" fontId="4" fillId="0" borderId="7" xfId="0" applyNumberFormat="1" applyFont="1" applyBorder="1"/>
    <xf numFmtId="10" fontId="2" fillId="0" borderId="8" xfId="0" applyNumberFormat="1" applyFont="1" applyBorder="1"/>
    <xf numFmtId="164" fontId="16" fillId="0" borderId="0" xfId="0" applyNumberFormat="1" applyFont="1" applyBorder="1"/>
    <xf numFmtId="0" fontId="16" fillId="0" borderId="0" xfId="0" applyFont="1" applyBorder="1"/>
    <xf numFmtId="0" fontId="18" fillId="0" borderId="0" xfId="0" applyFont="1" applyBorder="1"/>
    <xf numFmtId="0" fontId="18" fillId="0" borderId="6" xfId="0" applyFont="1" applyBorder="1"/>
    <xf numFmtId="0" fontId="18" fillId="0" borderId="6" xfId="0" applyFont="1" applyFill="1" applyBorder="1"/>
    <xf numFmtId="0" fontId="18" fillId="0" borderId="7" xfId="0" applyFont="1" applyBorder="1"/>
    <xf numFmtId="0" fontId="18" fillId="0" borderId="7" xfId="0" applyFont="1" applyFill="1" applyBorder="1"/>
    <xf numFmtId="164" fontId="19" fillId="0" borderId="10" xfId="0" applyNumberFormat="1" applyFont="1" applyBorder="1"/>
    <xf numFmtId="164" fontId="3" fillId="0" borderId="16" xfId="0" applyNumberFormat="1" applyFont="1" applyBorder="1"/>
    <xf numFmtId="164" fontId="0" fillId="0" borderId="16" xfId="0" applyNumberFormat="1" applyBorder="1"/>
    <xf numFmtId="164" fontId="3" fillId="0" borderId="6" xfId="0" applyNumberFormat="1" applyFont="1" applyBorder="1"/>
    <xf numFmtId="2" fontId="3" fillId="0" borderId="6" xfId="0" applyNumberFormat="1" applyFont="1" applyBorder="1"/>
    <xf numFmtId="164" fontId="8" fillId="0" borderId="6" xfId="0" applyNumberFormat="1" applyFont="1" applyBorder="1"/>
    <xf numFmtId="164" fontId="9" fillId="0" borderId="6" xfId="0" applyNumberFormat="1" applyFont="1" applyBorder="1"/>
    <xf numFmtId="2" fontId="3" fillId="0" borderId="0" xfId="0" applyNumberFormat="1" applyFont="1" applyBorder="1"/>
    <xf numFmtId="0" fontId="0" fillId="0" borderId="21" xfId="0" applyBorder="1"/>
    <xf numFmtId="165" fontId="3" fillId="0" borderId="0" xfId="0" applyNumberFormat="1" applyFont="1"/>
    <xf numFmtId="164" fontId="18" fillId="0" borderId="6" xfId="0" applyNumberFormat="1" applyFont="1" applyBorder="1"/>
    <xf numFmtId="164" fontId="19" fillId="0" borderId="6" xfId="0" applyNumberFormat="1" applyFont="1" applyBorder="1"/>
    <xf numFmtId="10" fontId="18" fillId="0" borderId="6" xfId="0" applyNumberFormat="1" applyFont="1" applyBorder="1"/>
    <xf numFmtId="0" fontId="3" fillId="0" borderId="10" xfId="0" applyFont="1" applyBorder="1"/>
    <xf numFmtId="0" fontId="2" fillId="0" borderId="16" xfId="0" applyFont="1" applyBorder="1"/>
    <xf numFmtId="0" fontId="4" fillId="0" borderId="16" xfId="0" applyFont="1" applyBorder="1"/>
    <xf numFmtId="21" fontId="0" fillId="0" borderId="16" xfId="0" applyNumberFormat="1" applyBorder="1"/>
    <xf numFmtId="0" fontId="4" fillId="0" borderId="12" xfId="0" applyFont="1" applyBorder="1"/>
    <xf numFmtId="0" fontId="14" fillId="0" borderId="13" xfId="0" applyFont="1" applyBorder="1"/>
    <xf numFmtId="0" fontId="2" fillId="0" borderId="12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4" fillId="0" borderId="14" xfId="0" applyFont="1" applyBorder="1"/>
    <xf numFmtId="0" fontId="2" fillId="0" borderId="18" xfId="0" applyFont="1" applyBorder="1" applyAlignment="1">
      <alignment horizontal="left"/>
    </xf>
    <xf numFmtId="0" fontId="2" fillId="0" borderId="15" xfId="0" applyFont="1" applyBorder="1"/>
    <xf numFmtId="0" fontId="2" fillId="0" borderId="8" xfId="0" applyFont="1" applyBorder="1"/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0" fillId="0" borderId="21" xfId="0" applyBorder="1" applyAlignment="1">
      <alignment horizontal="center"/>
    </xf>
    <xf numFmtId="0" fontId="4" fillId="0" borderId="18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20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22" xfId="0" applyFont="1" applyBorder="1"/>
    <xf numFmtId="0" fontId="2" fillId="0" borderId="19" xfId="0" applyFont="1" applyBorder="1" applyAlignment="1">
      <alignment horizontal="left"/>
    </xf>
    <xf numFmtId="0" fontId="2" fillId="0" borderId="14" xfId="0" applyFont="1" applyBorder="1" applyAlignment="1">
      <alignment horizontal="center"/>
    </xf>
    <xf numFmtId="164" fontId="15" fillId="0" borderId="10" xfId="0" applyNumberFormat="1" applyFont="1" applyFill="1" applyBorder="1"/>
    <xf numFmtId="0" fontId="1" fillId="0" borderId="0" xfId="0" applyFont="1" applyBorder="1"/>
    <xf numFmtId="164" fontId="0" fillId="0" borderId="21" xfId="0" applyNumberFormat="1" applyFill="1" applyBorder="1"/>
    <xf numFmtId="164" fontId="0" fillId="0" borderId="21" xfId="0" applyNumberFormat="1" applyBorder="1"/>
    <xf numFmtId="21" fontId="0" fillId="0" borderId="7" xfId="0" applyNumberFormat="1" applyBorder="1"/>
    <xf numFmtId="164" fontId="0" fillId="0" borderId="7" xfId="0" applyNumberFormat="1" applyBorder="1"/>
    <xf numFmtId="164" fontId="3" fillId="0" borderId="7" xfId="0" applyNumberFormat="1" applyFont="1" applyBorder="1"/>
    <xf numFmtId="164" fontId="0" fillId="0" borderId="7" xfId="0" applyNumberFormat="1" applyFill="1" applyBorder="1"/>
    <xf numFmtId="0" fontId="1" fillId="0" borderId="7" xfId="0" applyFont="1" applyBorder="1"/>
    <xf numFmtId="164" fontId="0" fillId="0" borderId="8" xfId="0" applyNumberFormat="1" applyFill="1" applyBorder="1"/>
    <xf numFmtId="2" fontId="15" fillId="0" borderId="11" xfId="0" applyNumberFormat="1" applyFont="1" applyBorder="1"/>
    <xf numFmtId="164" fontId="0" fillId="0" borderId="3" xfId="0" applyNumberFormat="1" applyBorder="1"/>
    <xf numFmtId="0" fontId="0" fillId="0" borderId="10" xfId="0" applyFill="1" applyBorder="1"/>
    <xf numFmtId="0" fontId="0" fillId="0" borderId="19" xfId="0" applyBorder="1" applyAlignment="1">
      <alignment horizontal="center"/>
    </xf>
    <xf numFmtId="0" fontId="10" fillId="0" borderId="19" xfId="0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10" fillId="0" borderId="0" xfId="0" applyFont="1" applyFill="1" applyBorder="1"/>
    <xf numFmtId="0" fontId="10" fillId="0" borderId="6" xfId="0" applyFont="1" applyFill="1" applyBorder="1"/>
    <xf numFmtId="0" fontId="10" fillId="0" borderId="6" xfId="0" applyFont="1" applyBorder="1"/>
    <xf numFmtId="0" fontId="0" fillId="0" borderId="6" xfId="0" applyFill="1" applyBorder="1"/>
    <xf numFmtId="0" fontId="10" fillId="0" borderId="7" xfId="0" applyFont="1" applyFill="1" applyBorder="1"/>
    <xf numFmtId="0" fontId="10" fillId="0" borderId="7" xfId="0" applyFont="1" applyBorder="1"/>
    <xf numFmtId="21" fontId="0" fillId="0" borderId="14" xfId="0" applyNumberFormat="1" applyBorder="1"/>
    <xf numFmtId="21" fontId="0" fillId="0" borderId="6" xfId="0" applyNumberFormat="1" applyBorder="1"/>
    <xf numFmtId="0" fontId="0" fillId="0" borderId="22" xfId="0" applyBorder="1"/>
    <xf numFmtId="164" fontId="0" fillId="0" borderId="15" xfId="0" applyNumberFormat="1" applyBorder="1"/>
    <xf numFmtId="21" fontId="0" fillId="0" borderId="18" xfId="0" applyNumberFormat="1" applyBorder="1"/>
    <xf numFmtId="1" fontId="0" fillId="0" borderId="7" xfId="0" applyNumberFormat="1" applyBorder="1"/>
    <xf numFmtId="0" fontId="0" fillId="0" borderId="7" xfId="0" applyFill="1" applyBorder="1"/>
    <xf numFmtId="164" fontId="0" fillId="0" borderId="8" xfId="0" applyNumberFormat="1" applyBorder="1"/>
    <xf numFmtId="0" fontId="2" fillId="0" borderId="21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2" fillId="0" borderId="14" xfId="0" applyFont="1" applyBorder="1" applyAlignment="1">
      <alignment horizontal="left"/>
    </xf>
    <xf numFmtId="0" fontId="14" fillId="0" borderId="19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10" fillId="0" borderId="18" xfId="0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21" xfId="0" applyFont="1" applyBorder="1"/>
    <xf numFmtId="164" fontId="0" fillId="0" borderId="14" xfId="0" applyNumberFormat="1" applyBorder="1"/>
    <xf numFmtId="1" fontId="0" fillId="0" borderId="6" xfId="0" applyNumberFormat="1" applyBorder="1"/>
    <xf numFmtId="0" fontId="0" fillId="0" borderId="21" xfId="0" applyBorder="1" applyAlignment="1">
      <alignment horizontal="right"/>
    </xf>
    <xf numFmtId="164" fontId="0" fillId="0" borderId="19" xfId="0" applyNumberFormat="1" applyBorder="1"/>
    <xf numFmtId="4" fontId="3" fillId="0" borderId="0" xfId="0" applyNumberFormat="1" applyFont="1" applyBorder="1"/>
    <xf numFmtId="165" fontId="0" fillId="0" borderId="7" xfId="0" applyNumberFormat="1" applyBorder="1"/>
    <xf numFmtId="0" fontId="4" fillId="0" borderId="23" xfId="0" applyFont="1" applyBorder="1"/>
    <xf numFmtId="0" fontId="4" fillId="0" borderId="24" xfId="0" applyFont="1" applyBorder="1"/>
    <xf numFmtId="0" fontId="3" fillId="0" borderId="16" xfId="0" applyFont="1" applyBorder="1"/>
    <xf numFmtId="164" fontId="15" fillId="0" borderId="7" xfId="0" applyNumberFormat="1" applyFont="1" applyBorder="1"/>
    <xf numFmtId="0" fontId="3" fillId="0" borderId="25" xfId="0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0" fillId="0" borderId="7" xfId="0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9" fontId="2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4" fillId="0" borderId="10" xfId="0" applyFont="1" applyBorder="1"/>
    <xf numFmtId="0" fontId="3" fillId="0" borderId="21" xfId="0" applyFont="1" applyBorder="1"/>
    <xf numFmtId="10" fontId="3" fillId="0" borderId="0" xfId="0" applyNumberFormat="1" applyFont="1"/>
    <xf numFmtId="20" fontId="3" fillId="0" borderId="0" xfId="0" applyNumberFormat="1" applyFont="1" applyBorder="1" applyAlignment="1">
      <alignment horizontal="center"/>
    </xf>
    <xf numFmtId="20" fontId="3" fillId="0" borderId="7" xfId="0" applyNumberFormat="1" applyFont="1" applyBorder="1" applyAlignment="1">
      <alignment horizontal="center"/>
    </xf>
    <xf numFmtId="20" fontId="0" fillId="0" borderId="0" xfId="0" applyNumberFormat="1" applyBorder="1"/>
    <xf numFmtId="0" fontId="0" fillId="0" borderId="0" xfId="0" applyFont="1" applyFill="1" applyBorder="1"/>
    <xf numFmtId="0" fontId="3" fillId="0" borderId="0" xfId="0" applyFont="1" applyFill="1" applyBorder="1"/>
    <xf numFmtId="20" fontId="0" fillId="0" borderId="7" xfId="0" applyNumberFormat="1" applyBorder="1" applyAlignment="1">
      <alignment horizontal="right"/>
    </xf>
    <xf numFmtId="20" fontId="0" fillId="0" borderId="14" xfId="0" applyNumberFormat="1" applyBorder="1"/>
    <xf numFmtId="20" fontId="0" fillId="0" borderId="6" xfId="0" applyNumberFormat="1" applyBorder="1"/>
    <xf numFmtId="1" fontId="3" fillId="0" borderId="6" xfId="0" applyNumberFormat="1" applyFont="1" applyBorder="1"/>
    <xf numFmtId="164" fontId="0" fillId="0" borderId="6" xfId="0" applyNumberFormat="1" applyFill="1" applyBorder="1"/>
    <xf numFmtId="20" fontId="0" fillId="0" borderId="19" xfId="0" applyNumberFormat="1" applyBorder="1"/>
    <xf numFmtId="20" fontId="3" fillId="0" borderId="0" xfId="0" applyNumberFormat="1" applyFont="1" applyBorder="1" applyAlignment="1">
      <alignment horizontal="right"/>
    </xf>
    <xf numFmtId="20" fontId="3" fillId="0" borderId="19" xfId="0" applyNumberFormat="1" applyFont="1" applyBorder="1" applyAlignment="1">
      <alignment horizontal="right"/>
    </xf>
    <xf numFmtId="20" fontId="0" fillId="0" borderId="19" xfId="0" applyNumberFormat="1" applyBorder="1" applyAlignment="1">
      <alignment horizontal="right"/>
    </xf>
    <xf numFmtId="20" fontId="0" fillId="0" borderId="0" xfId="0" applyNumberFormat="1" applyBorder="1" applyAlignment="1">
      <alignment horizontal="right"/>
    </xf>
    <xf numFmtId="20" fontId="0" fillId="0" borderId="18" xfId="0" applyNumberFormat="1" applyBorder="1" applyAlignment="1">
      <alignment horizontal="right"/>
    </xf>
    <xf numFmtId="20" fontId="3" fillId="0" borderId="0" xfId="0" applyNumberFormat="1" applyFont="1" applyBorder="1"/>
    <xf numFmtId="0" fontId="2" fillId="0" borderId="26" xfId="0" applyFont="1" applyBorder="1"/>
    <xf numFmtId="0" fontId="2" fillId="0" borderId="27" xfId="0" applyFont="1" applyBorder="1"/>
    <xf numFmtId="0" fontId="3" fillId="0" borderId="21" xfId="0" applyFont="1" applyBorder="1" applyAlignment="1">
      <alignment horizontal="center"/>
    </xf>
    <xf numFmtId="167" fontId="3" fillId="0" borderId="14" xfId="0" applyNumberFormat="1" applyFont="1" applyBorder="1"/>
    <xf numFmtId="21" fontId="3" fillId="0" borderId="18" xfId="0" applyNumberFormat="1" applyFont="1" applyBorder="1"/>
    <xf numFmtId="0" fontId="0" fillId="2" borderId="10" xfId="0" applyFill="1" applyBorder="1"/>
    <xf numFmtId="0" fontId="3" fillId="0" borderId="0" xfId="0" applyFont="1" applyAlignment="1">
      <alignment horizontal="center"/>
    </xf>
    <xf numFmtId="0" fontId="2" fillId="0" borderId="17" xfId="0" applyFont="1" applyBorder="1" applyAlignment="1">
      <alignment horizontal="left"/>
    </xf>
    <xf numFmtId="0" fontId="14" fillId="0" borderId="18" xfId="0" applyFont="1" applyBorder="1" applyAlignment="1">
      <alignment horizontal="center"/>
    </xf>
    <xf numFmtId="0" fontId="21" fillId="0" borderId="0" xfId="0" applyFont="1" applyAlignment="1">
      <alignment horizontal="center"/>
    </xf>
    <xf numFmtId="164" fontId="3" fillId="0" borderId="19" xfId="0" applyNumberFormat="1" applyFont="1" applyBorder="1"/>
    <xf numFmtId="0" fontId="3" fillId="0" borderId="6" xfId="0" applyFont="1" applyBorder="1"/>
    <xf numFmtId="0" fontId="2" fillId="0" borderId="14" xfId="0" applyFont="1" applyFill="1" applyBorder="1"/>
    <xf numFmtId="0" fontId="2" fillId="0" borderId="19" xfId="0" applyFont="1" applyFill="1" applyBorder="1"/>
    <xf numFmtId="0" fontId="0" fillId="3" borderId="0" xfId="0" applyFill="1" applyBorder="1"/>
    <xf numFmtId="0" fontId="3" fillId="0" borderId="6" xfId="0" applyFont="1" applyFill="1" applyBorder="1"/>
    <xf numFmtId="0" fontId="18" fillId="0" borderId="0" xfId="0" applyFont="1" applyFill="1" applyBorder="1"/>
    <xf numFmtId="0" fontId="17" fillId="0" borderId="16" xfId="0" applyFont="1" applyBorder="1"/>
    <xf numFmtId="164" fontId="2" fillId="0" borderId="7" xfId="0" applyNumberFormat="1" applyFont="1" applyBorder="1"/>
    <xf numFmtId="164" fontId="16" fillId="0" borderId="7" xfId="0" applyNumberFormat="1" applyFont="1" applyBorder="1"/>
    <xf numFmtId="0" fontId="16" fillId="0" borderId="7" xfId="0" applyFont="1" applyBorder="1"/>
    <xf numFmtId="0" fontId="19" fillId="0" borderId="7" xfId="0" applyFont="1" applyBorder="1"/>
    <xf numFmtId="0" fontId="24" fillId="0" borderId="0" xfId="0" applyFont="1"/>
    <xf numFmtId="0" fontId="18" fillId="0" borderId="7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10" fontId="18" fillId="0" borderId="9" xfId="0" applyNumberFormat="1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10" fontId="18" fillId="0" borderId="10" xfId="0" applyNumberFormat="1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2" fontId="18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164" fontId="18" fillId="0" borderId="7" xfId="0" applyNumberFormat="1" applyFont="1" applyBorder="1"/>
    <xf numFmtId="1" fontId="18" fillId="0" borderId="10" xfId="0" applyNumberFormat="1" applyFont="1" applyBorder="1"/>
    <xf numFmtId="1" fontId="18" fillId="0" borderId="11" xfId="0" applyNumberFormat="1" applyFont="1" applyBorder="1"/>
    <xf numFmtId="0" fontId="19" fillId="0" borderId="0" xfId="0" applyFont="1" applyBorder="1"/>
    <xf numFmtId="165" fontId="18" fillId="0" borderId="0" xfId="0" applyNumberFormat="1" applyFont="1" applyBorder="1"/>
    <xf numFmtId="2" fontId="18" fillId="0" borderId="0" xfId="0" applyNumberFormat="1" applyFont="1" applyBorder="1"/>
    <xf numFmtId="0" fontId="18" fillId="0" borderId="10" xfId="0" applyFont="1" applyFill="1" applyBorder="1"/>
    <xf numFmtId="164" fontId="18" fillId="0" borderId="10" xfId="0" applyNumberFormat="1" applyFont="1" applyFill="1" applyBorder="1"/>
    <xf numFmtId="0" fontId="18" fillId="0" borderId="28" xfId="0" applyFont="1" applyBorder="1"/>
    <xf numFmtId="2" fontId="18" fillId="0" borderId="11" xfId="0" applyNumberFormat="1" applyFont="1" applyFill="1" applyBorder="1"/>
    <xf numFmtId="2" fontId="18" fillId="0" borderId="11" xfId="0" applyNumberFormat="1" applyFont="1" applyBorder="1"/>
    <xf numFmtId="164" fontId="0" fillId="0" borderId="10" xfId="0" applyNumberFormat="1" applyBorder="1"/>
    <xf numFmtId="164" fontId="3" fillId="0" borderId="10" xfId="0" applyNumberFormat="1" applyFont="1" applyBorder="1"/>
    <xf numFmtId="0" fontId="2" fillId="0" borderId="9" xfId="0" applyFont="1" applyFill="1" applyBorder="1"/>
    <xf numFmtId="164" fontId="25" fillId="0" borderId="0" xfId="0" applyNumberFormat="1" applyFont="1" applyBorder="1"/>
    <xf numFmtId="164" fontId="3" fillId="0" borderId="0" xfId="0" applyNumberFormat="1" applyFont="1" applyFill="1" applyBorder="1"/>
    <xf numFmtId="0" fontId="26" fillId="0" borderId="0" xfId="0" applyFont="1" applyBorder="1"/>
    <xf numFmtId="164" fontId="26" fillId="0" borderId="0" xfId="0" applyNumberFormat="1" applyFont="1" applyBorder="1"/>
    <xf numFmtId="164" fontId="26" fillId="0" borderId="0" xfId="0" applyNumberFormat="1" applyFont="1" applyFill="1" applyBorder="1"/>
    <xf numFmtId="0" fontId="27" fillId="0" borderId="0" xfId="0" applyFont="1" applyBorder="1"/>
    <xf numFmtId="0" fontId="28" fillId="0" borderId="0" xfId="0" applyFont="1"/>
    <xf numFmtId="0" fontId="4" fillId="0" borderId="0" xfId="0" applyFont="1"/>
    <xf numFmtId="0" fontId="1" fillId="0" borderId="0" xfId="2" applyFont="1" applyBorder="1" applyAlignment="1" applyProtection="1"/>
    <xf numFmtId="0" fontId="29" fillId="0" borderId="9" xfId="0" applyFont="1" applyBorder="1"/>
    <xf numFmtId="0" fontId="29" fillId="0" borderId="0" xfId="0" applyFont="1" applyBorder="1"/>
    <xf numFmtId="0" fontId="29" fillId="0" borderId="10" xfId="0" applyFont="1" applyBorder="1"/>
    <xf numFmtId="164" fontId="29" fillId="0" borderId="10" xfId="0" applyNumberFormat="1" applyFont="1" applyBorder="1"/>
    <xf numFmtId="2" fontId="2" fillId="0" borderId="21" xfId="0" applyNumberFormat="1" applyFont="1" applyFill="1" applyBorder="1"/>
    <xf numFmtId="164" fontId="3" fillId="0" borderId="21" xfId="0" applyNumberFormat="1" applyFont="1" applyBorder="1"/>
    <xf numFmtId="0" fontId="3" fillId="0" borderId="7" xfId="0" applyFont="1" applyBorder="1"/>
    <xf numFmtId="164" fontId="0" fillId="0" borderId="0" xfId="0" applyNumberFormat="1" applyFont="1" applyFill="1" applyBorder="1"/>
    <xf numFmtId="0" fontId="3" fillId="0" borderId="15" xfId="0" applyFont="1" applyBorder="1"/>
    <xf numFmtId="1" fontId="3" fillId="0" borderId="0" xfId="0" applyNumberFormat="1" applyFont="1" applyBorder="1"/>
    <xf numFmtId="164" fontId="29" fillId="0" borderId="10" xfId="0" applyNumberFormat="1" applyFont="1" applyFill="1" applyBorder="1"/>
    <xf numFmtId="164" fontId="29" fillId="0" borderId="11" xfId="0" applyNumberFormat="1" applyFont="1" applyFill="1" applyBorder="1"/>
    <xf numFmtId="0" fontId="2" fillId="3" borderId="0" xfId="0" applyFont="1" applyFill="1" applyBorder="1"/>
    <xf numFmtId="0" fontId="18" fillId="3" borderId="0" xfId="0" applyFont="1" applyFill="1" applyBorder="1"/>
    <xf numFmtId="164" fontId="18" fillId="3" borderId="0" xfId="0" applyNumberFormat="1" applyFont="1" applyFill="1" applyBorder="1"/>
    <xf numFmtId="2" fontId="18" fillId="3" borderId="0" xfId="0" applyNumberFormat="1" applyFont="1" applyFill="1" applyBorder="1"/>
    <xf numFmtId="2" fontId="29" fillId="0" borderId="10" xfId="0" applyNumberFormat="1" applyFont="1" applyBorder="1"/>
    <xf numFmtId="2" fontId="29" fillId="0" borderId="11" xfId="0" applyNumberFormat="1" applyFont="1" applyBorder="1"/>
    <xf numFmtId="2" fontId="29" fillId="0" borderId="0" xfId="0" applyNumberFormat="1" applyFont="1" applyBorder="1"/>
    <xf numFmtId="2" fontId="29" fillId="0" borderId="21" xfId="0" applyNumberFormat="1" applyFont="1" applyFill="1" applyBorder="1"/>
    <xf numFmtId="2" fontId="29" fillId="0" borderId="11" xfId="0" applyNumberFormat="1" applyFont="1" applyFill="1" applyBorder="1"/>
    <xf numFmtId="2" fontId="30" fillId="0" borderId="10" xfId="0" applyNumberFormat="1" applyFont="1" applyFill="1" applyBorder="1"/>
    <xf numFmtId="0" fontId="26" fillId="0" borderId="9" xfId="0" applyFont="1" applyBorder="1"/>
    <xf numFmtId="164" fontId="3" fillId="0" borderId="21" xfId="0" applyNumberFormat="1" applyFont="1" applyFill="1" applyBorder="1"/>
    <xf numFmtId="0" fontId="30" fillId="0" borderId="10" xfId="0" applyFont="1" applyBorder="1"/>
    <xf numFmtId="0" fontId="23" fillId="0" borderId="9" xfId="0" applyFont="1" applyBorder="1"/>
    <xf numFmtId="0" fontId="27" fillId="0" borderId="10" xfId="0" applyFont="1" applyBorder="1"/>
    <xf numFmtId="2" fontId="27" fillId="0" borderId="10" xfId="0" applyNumberFormat="1" applyFont="1" applyBorder="1"/>
    <xf numFmtId="164" fontId="27" fillId="0" borderId="10" xfId="0" applyNumberFormat="1" applyFont="1" applyBorder="1"/>
    <xf numFmtId="164" fontId="27" fillId="0" borderId="11" xfId="0" applyNumberFormat="1" applyFont="1" applyFill="1" applyBorder="1"/>
    <xf numFmtId="2" fontId="27" fillId="0" borderId="11" xfId="0" applyNumberFormat="1" applyFont="1" applyBorder="1"/>
    <xf numFmtId="0" fontId="26" fillId="0" borderId="10" xfId="0" applyFont="1" applyBorder="1"/>
    <xf numFmtId="0" fontId="0" fillId="3" borderId="9" xfId="0" applyFill="1" applyBorder="1"/>
    <xf numFmtId="0" fontId="0" fillId="3" borderId="10" xfId="0" applyFill="1" applyBorder="1"/>
    <xf numFmtId="0" fontId="3" fillId="3" borderId="10" xfId="0" applyFont="1" applyFill="1" applyBorder="1"/>
    <xf numFmtId="0" fontId="0" fillId="3" borderId="11" xfId="0" applyFill="1" applyBorder="1"/>
    <xf numFmtId="0" fontId="0" fillId="0" borderId="10" xfId="0" applyBorder="1" applyAlignment="1">
      <alignment horizontal="right"/>
    </xf>
    <xf numFmtId="0" fontId="0" fillId="3" borderId="19" xfId="0" applyFill="1" applyBorder="1"/>
    <xf numFmtId="0" fontId="3" fillId="3" borderId="0" xfId="0" applyFont="1" applyFill="1" applyBorder="1"/>
    <xf numFmtId="0" fontId="0" fillId="3" borderId="21" xfId="0" applyFill="1" applyBorder="1"/>
    <xf numFmtId="164" fontId="19" fillId="0" borderId="10" xfId="0" applyNumberFormat="1" applyFont="1" applyFill="1" applyBorder="1"/>
    <xf numFmtId="2" fontId="26" fillId="0" borderId="10" xfId="0" applyNumberFormat="1" applyFont="1" applyBorder="1"/>
    <xf numFmtId="2" fontId="26" fillId="0" borderId="11" xfId="0" applyNumberFormat="1" applyFont="1" applyFill="1" applyBorder="1"/>
    <xf numFmtId="0" fontId="26" fillId="0" borderId="6" xfId="0" applyFont="1" applyBorder="1"/>
    <xf numFmtId="0" fontId="30" fillId="0" borderId="6" xfId="0" applyFont="1" applyBorder="1"/>
    <xf numFmtId="164" fontId="26" fillId="0" borderId="6" xfId="0" applyNumberFormat="1" applyFont="1" applyBorder="1"/>
    <xf numFmtId="164" fontId="26" fillId="0" borderId="6" xfId="0" applyNumberFormat="1" applyFont="1" applyFill="1" applyBorder="1"/>
    <xf numFmtId="164" fontId="19" fillId="0" borderId="6" xfId="0" applyNumberFormat="1" applyFont="1" applyFill="1" applyBorder="1"/>
    <xf numFmtId="0" fontId="29" fillId="0" borderId="6" xfId="0" applyFont="1" applyBorder="1"/>
    <xf numFmtId="164" fontId="26" fillId="0" borderId="15" xfId="0" applyNumberFormat="1" applyFont="1" applyFill="1" applyBorder="1"/>
    <xf numFmtId="0" fontId="2" fillId="0" borderId="29" xfId="0" applyFont="1" applyBorder="1"/>
    <xf numFmtId="0" fontId="2" fillId="0" borderId="25" xfId="0" applyFont="1" applyBorder="1"/>
    <xf numFmtId="0" fontId="26" fillId="0" borderId="25" xfId="0" applyFont="1" applyBorder="1"/>
    <xf numFmtId="0" fontId="30" fillId="0" borderId="25" xfId="0" applyFont="1" applyBorder="1"/>
    <xf numFmtId="164" fontId="26" fillId="0" borderId="25" xfId="0" applyNumberFormat="1" applyFont="1" applyBorder="1"/>
    <xf numFmtId="164" fontId="26" fillId="0" borderId="25" xfId="0" applyNumberFormat="1" applyFont="1" applyFill="1" applyBorder="1"/>
    <xf numFmtId="164" fontId="19" fillId="0" borderId="25" xfId="0" applyNumberFormat="1" applyFont="1" applyFill="1" applyBorder="1"/>
    <xf numFmtId="0" fontId="29" fillId="0" borderId="25" xfId="0" applyFont="1" applyBorder="1"/>
    <xf numFmtId="164" fontId="26" fillId="0" borderId="30" xfId="0" applyNumberFormat="1" applyFont="1" applyFill="1" applyBorder="1"/>
    <xf numFmtId="0" fontId="0" fillId="2" borderId="29" xfId="0" applyFill="1" applyBorder="1"/>
    <xf numFmtId="0" fontId="3" fillId="2" borderId="25" xfId="0" applyFont="1" applyFill="1" applyBorder="1"/>
    <xf numFmtId="0" fontId="0" fillId="2" borderId="25" xfId="0" applyFill="1" applyBorder="1"/>
    <xf numFmtId="0" fontId="3" fillId="2" borderId="30" xfId="0" applyFont="1" applyFill="1" applyBorder="1"/>
    <xf numFmtId="0" fontId="0" fillId="0" borderId="10" xfId="0" applyBorder="1" applyAlignment="1">
      <alignment horizontal="center"/>
    </xf>
    <xf numFmtId="2" fontId="30" fillId="0" borderId="10" xfId="0" applyNumberFormat="1" applyFont="1" applyBorder="1"/>
    <xf numFmtId="0" fontId="0" fillId="2" borderId="9" xfId="0" applyFill="1" applyBorder="1"/>
    <xf numFmtId="0" fontId="0" fillId="2" borderId="11" xfId="0" applyFill="1" applyBorder="1"/>
    <xf numFmtId="164" fontId="18" fillId="0" borderId="15" xfId="0" applyNumberFormat="1" applyFont="1" applyBorder="1"/>
    <xf numFmtId="0" fontId="2" fillId="2" borderId="9" xfId="0" applyFont="1" applyFill="1" applyBorder="1"/>
    <xf numFmtId="0" fontId="2" fillId="2" borderId="10" xfId="0" applyFont="1" applyFill="1" applyBorder="1"/>
    <xf numFmtId="164" fontId="2" fillId="2" borderId="10" xfId="0" applyNumberFormat="1" applyFont="1" applyFill="1" applyBorder="1"/>
    <xf numFmtId="0" fontId="10" fillId="0" borderId="12" xfId="0" applyFont="1" applyBorder="1"/>
    <xf numFmtId="0" fontId="10" fillId="0" borderId="13" xfId="0" applyFont="1" applyBorder="1" applyAlignment="1">
      <alignment horizontal="left"/>
    </xf>
    <xf numFmtId="0" fontId="2" fillId="0" borderId="12" xfId="0" applyFont="1" applyBorder="1" applyAlignment="1"/>
    <xf numFmtId="0" fontId="2" fillId="0" borderId="16" xfId="0" applyFont="1" applyBorder="1" applyAlignment="1"/>
    <xf numFmtId="0" fontId="3" fillId="0" borderId="10" xfId="0" applyFont="1" applyFill="1" applyBorder="1"/>
    <xf numFmtId="0" fontId="3" fillId="0" borderId="7" xfId="0" applyFont="1" applyFill="1" applyBorder="1"/>
    <xf numFmtId="20" fontId="3" fillId="0" borderId="14" xfId="0" applyNumberFormat="1" applyFont="1" applyBorder="1"/>
    <xf numFmtId="20" fontId="3" fillId="0" borderId="26" xfId="0" applyNumberFormat="1" applyFont="1" applyBorder="1"/>
    <xf numFmtId="20" fontId="0" fillId="0" borderId="18" xfId="0" applyNumberFormat="1" applyFill="1" applyBorder="1"/>
    <xf numFmtId="20" fontId="0" fillId="0" borderId="27" xfId="0" applyNumberFormat="1" applyFill="1" applyBorder="1"/>
    <xf numFmtId="0" fontId="0" fillId="0" borderId="14" xfId="0" applyFill="1" applyBorder="1"/>
    <xf numFmtId="0" fontId="0" fillId="0" borderId="21" xfId="0" applyFill="1" applyBorder="1"/>
    <xf numFmtId="0" fontId="0" fillId="0" borderId="18" xfId="0" applyFill="1" applyBorder="1"/>
    <xf numFmtId="0" fontId="0" fillId="0" borderId="8" xfId="0" applyFill="1" applyBorder="1"/>
    <xf numFmtId="0" fontId="18" fillId="0" borderId="14" xfId="0" applyFont="1" applyFill="1" applyBorder="1"/>
    <xf numFmtId="0" fontId="18" fillId="0" borderId="19" xfId="0" applyFont="1" applyFill="1" applyBorder="1"/>
    <xf numFmtId="0" fontId="3" fillId="0" borderId="21" xfId="0" applyFont="1" applyFill="1" applyBorder="1"/>
    <xf numFmtId="0" fontId="18" fillId="0" borderId="18" xfId="0" applyFont="1" applyFill="1" applyBorder="1"/>
    <xf numFmtId="164" fontId="3" fillId="0" borderId="7" xfId="0" applyNumberFormat="1" applyFont="1" applyFill="1" applyBorder="1"/>
    <xf numFmtId="0" fontId="3" fillId="0" borderId="8" xfId="0" applyFont="1" applyFill="1" applyBorder="1"/>
    <xf numFmtId="0" fontId="18" fillId="0" borderId="19" xfId="0" applyFont="1" applyBorder="1"/>
    <xf numFmtId="164" fontId="18" fillId="0" borderId="21" xfId="0" applyNumberFormat="1" applyFont="1" applyBorder="1"/>
    <xf numFmtId="0" fontId="18" fillId="0" borderId="18" xfId="0" applyFont="1" applyBorder="1"/>
    <xf numFmtId="164" fontId="18" fillId="0" borderId="8" xfId="0" applyNumberFormat="1" applyFont="1" applyBorder="1"/>
    <xf numFmtId="0" fontId="3" fillId="0" borderId="22" xfId="0" applyFont="1" applyBorder="1"/>
    <xf numFmtId="0" fontId="3" fillId="0" borderId="20" xfId="0" applyFont="1" applyBorder="1"/>
    <xf numFmtId="21" fontId="3" fillId="0" borderId="6" xfId="0" applyNumberFormat="1" applyFont="1" applyBorder="1"/>
    <xf numFmtId="167" fontId="3" fillId="0" borderId="7" xfId="0" applyNumberFormat="1" applyFont="1" applyBorder="1"/>
    <xf numFmtId="0" fontId="3" fillId="2" borderId="9" xfId="0" applyFont="1" applyFill="1" applyBorder="1"/>
    <xf numFmtId="167" fontId="3" fillId="0" borderId="19" xfId="0" applyNumberFormat="1" applyFont="1" applyBorder="1"/>
    <xf numFmtId="21" fontId="3" fillId="0" borderId="0" xfId="0" applyNumberFormat="1" applyFont="1" applyBorder="1"/>
    <xf numFmtId="21" fontId="3" fillId="0" borderId="19" xfId="0" applyNumberFormat="1" applyFont="1" applyBorder="1"/>
    <xf numFmtId="167" fontId="3" fillId="0" borderId="0" xfId="0" applyNumberFormat="1" applyFont="1" applyBorder="1"/>
    <xf numFmtId="0" fontId="18" fillId="0" borderId="20" xfId="0" applyFont="1" applyBorder="1"/>
    <xf numFmtId="21" fontId="3" fillId="0" borderId="15" xfId="0" applyNumberFormat="1" applyFont="1" applyBorder="1"/>
    <xf numFmtId="21" fontId="3" fillId="0" borderId="21" xfId="0" applyNumberFormat="1" applyFont="1" applyBorder="1"/>
    <xf numFmtId="167" fontId="3" fillId="0" borderId="21" xfId="0" applyNumberFormat="1" applyFont="1" applyBorder="1"/>
    <xf numFmtId="167" fontId="3" fillId="0" borderId="8" xfId="0" applyNumberFormat="1" applyFont="1" applyBorder="1"/>
    <xf numFmtId="0" fontId="0" fillId="0" borderId="20" xfId="0" applyFill="1" applyBorder="1"/>
    <xf numFmtId="0" fontId="3" fillId="0" borderId="18" xfId="0" applyFont="1" applyBorder="1"/>
    <xf numFmtId="0" fontId="10" fillId="0" borderId="14" xfId="0" applyFont="1" applyBorder="1" applyAlignment="1">
      <alignment horizontal="left"/>
    </xf>
    <xf numFmtId="21" fontId="3" fillId="0" borderId="21" xfId="0" applyNumberFormat="1" applyFont="1" applyBorder="1" applyAlignment="1">
      <alignment horizontal="left"/>
    </xf>
    <xf numFmtId="0" fontId="4" fillId="0" borderId="17" xfId="0" applyFont="1" applyBorder="1"/>
    <xf numFmtId="0" fontId="3" fillId="0" borderId="19" xfId="0" applyFont="1" applyBorder="1" applyAlignment="1">
      <alignment horizontal="left"/>
    </xf>
    <xf numFmtId="0" fontId="2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center"/>
    </xf>
    <xf numFmtId="0" fontId="25" fillId="0" borderId="6" xfId="0" applyFont="1" applyFill="1" applyBorder="1" applyAlignment="1">
      <alignment horizontal="center"/>
    </xf>
    <xf numFmtId="0" fontId="25" fillId="0" borderId="15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25" fillId="0" borderId="21" xfId="0" applyFont="1" applyFill="1" applyBorder="1" applyAlignment="1">
      <alignment horizontal="center"/>
    </xf>
    <xf numFmtId="0" fontId="25" fillId="0" borderId="7" xfId="0" applyFont="1" applyFill="1" applyBorder="1" applyAlignment="1">
      <alignment horizontal="center"/>
    </xf>
    <xf numFmtId="0" fontId="25" fillId="0" borderId="8" xfId="0" applyFont="1" applyFill="1" applyBorder="1" applyAlignment="1">
      <alignment horizontal="center"/>
    </xf>
    <xf numFmtId="0" fontId="14" fillId="0" borderId="18" xfId="0" applyFont="1" applyBorder="1" applyAlignment="1">
      <alignment horizontal="left"/>
    </xf>
    <xf numFmtId="0" fontId="0" fillId="0" borderId="10" xfId="0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1" xfId="0" applyFill="1" applyBorder="1" applyAlignment="1">
      <alignment horizontal="center"/>
    </xf>
    <xf numFmtId="9" fontId="2" fillId="0" borderId="6" xfId="0" applyNumberFormat="1" applyFont="1" applyBorder="1" applyAlignment="1">
      <alignment horizontal="center"/>
    </xf>
    <xf numFmtId="0" fontId="3" fillId="0" borderId="0" xfId="0" applyFont="1" applyAlignment="1"/>
    <xf numFmtId="0" fontId="3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6" xfId="0" applyFont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left"/>
    </xf>
    <xf numFmtId="0" fontId="2" fillId="0" borderId="16" xfId="0" applyFont="1" applyFill="1" applyBorder="1" applyAlignment="1"/>
    <xf numFmtId="0" fontId="2" fillId="0" borderId="13" xfId="0" applyFont="1" applyFill="1" applyBorder="1" applyAlignment="1"/>
    <xf numFmtId="0" fontId="0" fillId="0" borderId="0" xfId="0" applyAlignment="1"/>
    <xf numFmtId="0" fontId="0" fillId="0" borderId="0" xfId="0" applyFill="1" applyBorder="1" applyAlignment="1"/>
    <xf numFmtId="0" fontId="3" fillId="0" borderId="16" xfId="0" applyFont="1" applyBorder="1" applyAlignment="1"/>
    <xf numFmtId="0" fontId="0" fillId="0" borderId="16" xfId="0" applyBorder="1" applyAlignment="1"/>
    <xf numFmtId="0" fontId="0" fillId="0" borderId="16" xfId="0" applyFill="1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0" xfId="0" applyBorder="1" applyAlignment="1"/>
    <xf numFmtId="164" fontId="2" fillId="0" borderId="0" xfId="0" applyNumberFormat="1" applyFont="1" applyFill="1" applyBorder="1"/>
    <xf numFmtId="164" fontId="2" fillId="0" borderId="0" xfId="0" applyNumberFormat="1" applyFont="1" applyBorder="1" applyAlignment="1">
      <alignment horizontal="right"/>
    </xf>
    <xf numFmtId="0" fontId="2" fillId="0" borderId="21" xfId="0" applyFont="1" applyFill="1" applyBorder="1"/>
    <xf numFmtId="0" fontId="2" fillId="0" borderId="18" xfId="0" applyFont="1" applyFill="1" applyBorder="1"/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164" fontId="0" fillId="0" borderId="9" xfId="0" applyNumberFormat="1" applyBorder="1"/>
    <xf numFmtId="0" fontId="2" fillId="0" borderId="11" xfId="0" applyFont="1" applyBorder="1" applyAlignment="1">
      <alignment horizontal="right"/>
    </xf>
    <xf numFmtId="164" fontId="29" fillId="0" borderId="0" xfId="0" applyNumberFormat="1" applyFont="1"/>
    <xf numFmtId="164" fontId="29" fillId="0" borderId="0" xfId="0" applyNumberFormat="1" applyFont="1" applyBorder="1"/>
    <xf numFmtId="164" fontId="2" fillId="0" borderId="21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6" fontId="2" fillId="0" borderId="6" xfId="0" applyNumberFormat="1" applyFont="1" applyBorder="1"/>
    <xf numFmtId="165" fontId="2" fillId="0" borderId="10" xfId="0" applyNumberFormat="1" applyFont="1" applyBorder="1"/>
    <xf numFmtId="169" fontId="3" fillId="0" borderId="0" xfId="0" applyNumberFormat="1" applyFont="1"/>
    <xf numFmtId="166" fontId="4" fillId="0" borderId="0" xfId="0" applyNumberFormat="1" applyFont="1" applyBorder="1"/>
    <xf numFmtId="165" fontId="4" fillId="0" borderId="6" xfId="0" applyNumberFormat="1" applyFont="1" applyBorder="1"/>
    <xf numFmtId="4" fontId="3" fillId="0" borderId="0" xfId="0" applyNumberFormat="1" applyFont="1"/>
    <xf numFmtId="1" fontId="2" fillId="0" borderId="0" xfId="0" applyNumberFormat="1" applyFont="1"/>
    <xf numFmtId="1" fontId="3" fillId="0" borderId="0" xfId="0" applyNumberFormat="1" applyFont="1"/>
    <xf numFmtId="164" fontId="2" fillId="0" borderId="11" xfId="0" applyNumberFormat="1" applyFont="1" applyBorder="1"/>
    <xf numFmtId="0" fontId="2" fillId="0" borderId="6" xfId="0" applyFont="1" applyFill="1" applyBorder="1"/>
    <xf numFmtId="0" fontId="2" fillId="0" borderId="15" xfId="0" applyFont="1" applyFill="1" applyBorder="1"/>
    <xf numFmtId="164" fontId="2" fillId="0" borderId="19" xfId="0" applyNumberFormat="1" applyFont="1" applyBorder="1" applyAlignment="1">
      <alignment horizontal="right"/>
    </xf>
    <xf numFmtId="0" fontId="29" fillId="0" borderId="0" xfId="0" applyFont="1"/>
    <xf numFmtId="4" fontId="18" fillId="0" borderId="0" xfId="0" applyNumberFormat="1" applyFont="1" applyBorder="1"/>
    <xf numFmtId="10" fontId="2" fillId="0" borderId="0" xfId="0" applyNumberFormat="1" applyFont="1" applyBorder="1"/>
    <xf numFmtId="0" fontId="31" fillId="0" borderId="0" xfId="0" applyFont="1"/>
    <xf numFmtId="0" fontId="33" fillId="0" borderId="0" xfId="0" applyFont="1"/>
    <xf numFmtId="0" fontId="34" fillId="0" borderId="0" xfId="0" applyFont="1"/>
    <xf numFmtId="0" fontId="2" fillId="0" borderId="18" xfId="0" applyFont="1" applyBorder="1" applyAlignment="1">
      <alignment horizontal="right"/>
    </xf>
    <xf numFmtId="0" fontId="0" fillId="4" borderId="0" xfId="0" applyFill="1"/>
    <xf numFmtId="0" fontId="3" fillId="4" borderId="0" xfId="0" applyFont="1" applyFill="1"/>
    <xf numFmtId="0" fontId="2" fillId="4" borderId="0" xfId="0" applyFont="1" applyFill="1"/>
    <xf numFmtId="0" fontId="4" fillId="4" borderId="0" xfId="0" applyFont="1" applyFill="1"/>
    <xf numFmtId="0" fontId="32" fillId="0" borderId="0" xfId="0" applyFont="1"/>
    <xf numFmtId="2" fontId="35" fillId="0" borderId="10" xfId="0" applyNumberFormat="1" applyFont="1" applyBorder="1"/>
    <xf numFmtId="2" fontId="35" fillId="0" borderId="11" xfId="0" applyNumberFormat="1" applyFont="1" applyBorder="1"/>
    <xf numFmtId="0" fontId="4" fillId="0" borderId="9" xfId="0" applyFont="1" applyBorder="1"/>
    <xf numFmtId="0" fontId="36" fillId="0" borderId="16" xfId="0" applyFont="1" applyBorder="1"/>
    <xf numFmtId="0" fontId="36" fillId="0" borderId="19" xfId="0" applyFont="1" applyBorder="1"/>
    <xf numFmtId="0" fontId="37" fillId="0" borderId="0" xfId="0" applyFont="1"/>
    <xf numFmtId="0" fontId="3" fillId="5" borderId="0" xfId="0" applyFont="1" applyFill="1" applyBorder="1"/>
    <xf numFmtId="0" fontId="0" fillId="6" borderId="0" xfId="0" applyFill="1"/>
    <xf numFmtId="0" fontId="3" fillId="7" borderId="0" xfId="0" applyFont="1" applyFill="1"/>
    <xf numFmtId="0" fontId="0" fillId="2" borderId="0" xfId="0" applyFill="1"/>
    <xf numFmtId="0" fontId="0" fillId="5" borderId="16" xfId="0" applyFill="1" applyBorder="1"/>
    <xf numFmtId="0" fontId="3" fillId="5" borderId="24" xfId="0" applyFont="1" applyFill="1" applyBorder="1"/>
    <xf numFmtId="0" fontId="0" fillId="2" borderId="24" xfId="0" applyFill="1" applyBorder="1"/>
    <xf numFmtId="0" fontId="0" fillId="5" borderId="24" xfId="0" applyFill="1" applyBorder="1"/>
    <xf numFmtId="0" fontId="0" fillId="5" borderId="24" xfId="0" applyFont="1" applyFill="1" applyBorder="1"/>
    <xf numFmtId="0" fontId="3" fillId="5" borderId="31" xfId="0" applyFont="1" applyFill="1" applyBorder="1"/>
    <xf numFmtId="18" fontId="0" fillId="0" borderId="0" xfId="0" applyNumberFormat="1"/>
    <xf numFmtId="0" fontId="4" fillId="0" borderId="0" xfId="0" applyFont="1" applyAlignment="1">
      <alignment horizontal="right"/>
    </xf>
    <xf numFmtId="0" fontId="8" fillId="7" borderId="24" xfId="0" applyFont="1" applyFill="1" applyBorder="1"/>
    <xf numFmtId="0" fontId="8" fillId="5" borderId="16" xfId="0" applyFont="1" applyFill="1" applyBorder="1"/>
    <xf numFmtId="0" fontId="8" fillId="5" borderId="24" xfId="0" applyFont="1" applyFill="1" applyBorder="1"/>
    <xf numFmtId="0" fontId="0" fillId="7" borderId="24" xfId="0" applyFill="1" applyBorder="1"/>
    <xf numFmtId="0" fontId="3" fillId="5" borderId="32" xfId="0" applyFont="1" applyFill="1" applyBorder="1"/>
    <xf numFmtId="0" fontId="0" fillId="4" borderId="12" xfId="0" applyFill="1" applyBorder="1"/>
    <xf numFmtId="0" fontId="22" fillId="0" borderId="17" xfId="0" applyFont="1" applyBorder="1"/>
    <xf numFmtId="0" fontId="0" fillId="2" borderId="14" xfId="0" applyFill="1" applyBorder="1"/>
    <xf numFmtId="0" fontId="0" fillId="2" borderId="6" xfId="0" applyFill="1" applyBorder="1"/>
    <xf numFmtId="0" fontId="0" fillId="2" borderId="15" xfId="0" applyFill="1" applyBorder="1"/>
    <xf numFmtId="0" fontId="10" fillId="0" borderId="15" xfId="0" applyFont="1" applyBorder="1" applyAlignment="1">
      <alignment horizontal="left"/>
    </xf>
    <xf numFmtId="0" fontId="40" fillId="0" borderId="0" xfId="0" applyFont="1"/>
    <xf numFmtId="0" fontId="41" fillId="0" borderId="0" xfId="0" applyFont="1"/>
    <xf numFmtId="0" fontId="10" fillId="0" borderId="0" xfId="0" applyFont="1"/>
    <xf numFmtId="0" fontId="32" fillId="0" borderId="16" xfId="0" applyFont="1" applyBorder="1"/>
    <xf numFmtId="0" fontId="14" fillId="0" borderId="18" xfId="0" applyFont="1" applyBorder="1"/>
    <xf numFmtId="167" fontId="3" fillId="0" borderId="6" xfId="0" applyNumberFormat="1" applyFont="1" applyBorder="1"/>
    <xf numFmtId="21" fontId="3" fillId="0" borderId="7" xfId="0" applyNumberFormat="1" applyFont="1" applyBorder="1"/>
    <xf numFmtId="20" fontId="2" fillId="0" borderId="7" xfId="0" applyNumberFormat="1" applyFont="1" applyBorder="1" applyAlignment="1">
      <alignment horizontal="center"/>
    </xf>
    <xf numFmtId="0" fontId="39" fillId="0" borderId="10" xfId="0" applyFont="1" applyBorder="1"/>
    <xf numFmtId="0" fontId="14" fillId="0" borderId="13" xfId="0" applyFont="1" applyBorder="1" applyAlignment="1">
      <alignment horizontal="left"/>
    </xf>
    <xf numFmtId="0" fontId="23" fillId="0" borderId="12" xfId="0" applyFont="1" applyBorder="1"/>
    <xf numFmtId="0" fontId="10" fillId="0" borderId="6" xfId="0" applyFont="1" applyBorder="1" applyAlignment="1">
      <alignment horizontal="left"/>
    </xf>
    <xf numFmtId="20" fontId="3" fillId="0" borderId="6" xfId="0" applyNumberFormat="1" applyFont="1" applyBorder="1" applyAlignment="1">
      <alignment horizontal="center"/>
    </xf>
    <xf numFmtId="20" fontId="3" fillId="0" borderId="6" xfId="0" applyNumberFormat="1" applyFont="1" applyBorder="1"/>
    <xf numFmtId="0" fontId="3" fillId="0" borderId="15" xfId="0" applyFont="1" applyBorder="1" applyAlignment="1">
      <alignment horizontal="center"/>
    </xf>
    <xf numFmtId="0" fontId="4" fillId="0" borderId="17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2" fillId="0" borderId="17" xfId="0" applyFont="1" applyFill="1" applyBorder="1" applyAlignment="1"/>
    <xf numFmtId="0" fontId="2" fillId="0" borderId="17" xfId="0" applyFont="1" applyBorder="1" applyAlignment="1"/>
    <xf numFmtId="2" fontId="32" fillId="0" borderId="10" xfId="0" applyNumberFormat="1" applyFont="1" applyBorder="1" applyAlignment="1">
      <alignment horizontal="center"/>
    </xf>
    <xf numFmtId="0" fontId="32" fillId="0" borderId="10" xfId="0" applyFont="1" applyBorder="1" applyAlignment="1">
      <alignment horizontal="center"/>
    </xf>
    <xf numFmtId="10" fontId="32" fillId="0" borderId="10" xfId="0" applyNumberFormat="1" applyFont="1" applyBorder="1" applyAlignment="1">
      <alignment horizontal="center"/>
    </xf>
    <xf numFmtId="10" fontId="32" fillId="0" borderId="11" xfId="0" applyNumberFormat="1" applyFont="1" applyBorder="1" applyAlignment="1">
      <alignment horizontal="center"/>
    </xf>
    <xf numFmtId="10" fontId="32" fillId="0" borderId="6" xfId="0" applyNumberFormat="1" applyFont="1" applyBorder="1" applyAlignment="1">
      <alignment horizontal="center"/>
    </xf>
    <xf numFmtId="10" fontId="32" fillId="0" borderId="15" xfId="0" applyNumberFormat="1" applyFont="1" applyBorder="1" applyAlignment="1">
      <alignment horizontal="center"/>
    </xf>
    <xf numFmtId="0" fontId="31" fillId="0" borderId="10" xfId="0" applyFont="1" applyFill="1" applyBorder="1" applyAlignment="1">
      <alignment horizontal="center"/>
    </xf>
    <xf numFmtId="10" fontId="32" fillId="0" borderId="7" xfId="0" applyNumberFormat="1" applyFont="1" applyBorder="1" applyAlignment="1">
      <alignment horizontal="center"/>
    </xf>
    <xf numFmtId="10" fontId="32" fillId="0" borderId="8" xfId="0" applyNumberFormat="1" applyFont="1" applyBorder="1" applyAlignment="1">
      <alignment horizontal="center"/>
    </xf>
    <xf numFmtId="10" fontId="32" fillId="0" borderId="9" xfId="0" applyNumberFormat="1" applyFont="1" applyBorder="1" applyAlignment="1">
      <alignment horizontal="center"/>
    </xf>
    <xf numFmtId="0" fontId="31" fillId="0" borderId="10" xfId="0" applyFont="1" applyBorder="1" applyAlignment="1">
      <alignment horizontal="center"/>
    </xf>
    <xf numFmtId="10" fontId="32" fillId="0" borderId="19" xfId="0" applyNumberFormat="1" applyFont="1" applyBorder="1" applyAlignment="1">
      <alignment horizontal="center"/>
    </xf>
    <xf numFmtId="10" fontId="32" fillId="0" borderId="0" xfId="0" applyNumberFormat="1" applyFont="1" applyBorder="1" applyAlignment="1">
      <alignment horizontal="center"/>
    </xf>
    <xf numFmtId="10" fontId="32" fillId="0" borderId="21" xfId="0" applyNumberFormat="1" applyFont="1" applyBorder="1" applyAlignment="1">
      <alignment horizontal="center"/>
    </xf>
    <xf numFmtId="0" fontId="0" fillId="3" borderId="6" xfId="0" applyFill="1" applyBorder="1"/>
    <xf numFmtId="0" fontId="0" fillId="3" borderId="15" xfId="0" applyFill="1" applyBorder="1"/>
    <xf numFmtId="0" fontId="8" fillId="0" borderId="17" xfId="0" applyFont="1" applyBorder="1"/>
    <xf numFmtId="164" fontId="2" fillId="0" borderId="6" xfId="0" applyNumberFormat="1" applyFont="1" applyBorder="1"/>
    <xf numFmtId="0" fontId="3" fillId="0" borderId="19" xfId="0" applyFont="1" applyFill="1" applyBorder="1"/>
    <xf numFmtId="164" fontId="0" fillId="0" borderId="19" xfId="0" applyNumberFormat="1" applyFill="1" applyBorder="1"/>
    <xf numFmtId="164" fontId="15" fillId="0" borderId="21" xfId="0" applyNumberFormat="1" applyFont="1" applyBorder="1"/>
    <xf numFmtId="164" fontId="0" fillId="0" borderId="18" xfId="0" applyNumberFormat="1" applyBorder="1"/>
    <xf numFmtId="165" fontId="32" fillId="0" borderId="10" xfId="0" applyNumberFormat="1" applyFont="1" applyBorder="1"/>
    <xf numFmtId="165" fontId="32" fillId="0" borderId="6" xfId="0" applyNumberFormat="1" applyFont="1" applyBorder="1"/>
    <xf numFmtId="0" fontId="31" fillId="0" borderId="6" xfId="0" applyFont="1" applyBorder="1"/>
    <xf numFmtId="1" fontId="32" fillId="0" borderId="6" xfId="0" applyNumberFormat="1" applyFont="1" applyBorder="1"/>
    <xf numFmtId="1" fontId="32" fillId="0" borderId="15" xfId="0" applyNumberFormat="1" applyFont="1" applyBorder="1"/>
    <xf numFmtId="164" fontId="32" fillId="0" borderId="9" xfId="0" applyNumberFormat="1" applyFont="1" applyFill="1" applyBorder="1"/>
    <xf numFmtId="164" fontId="32" fillId="0" borderId="10" xfId="0" applyNumberFormat="1" applyFont="1" applyBorder="1"/>
    <xf numFmtId="164" fontId="32" fillId="0" borderId="11" xfId="0" applyNumberFormat="1" applyFont="1" applyBorder="1"/>
    <xf numFmtId="0" fontId="4" fillId="0" borderId="31" xfId="0" applyFont="1" applyBorder="1"/>
    <xf numFmtId="4" fontId="32" fillId="0" borderId="10" xfId="0" applyNumberFormat="1" applyFont="1" applyBorder="1"/>
    <xf numFmtId="0" fontId="32" fillId="0" borderId="10" xfId="0" applyFont="1" applyBorder="1"/>
    <xf numFmtId="0" fontId="32" fillId="0" borderId="0" xfId="0" applyFont="1" applyBorder="1"/>
    <xf numFmtId="0" fontId="2" fillId="0" borderId="7" xfId="0" applyFont="1" applyFill="1" applyBorder="1"/>
    <xf numFmtId="0" fontId="2" fillId="0" borderId="8" xfId="0" applyFont="1" applyFill="1" applyBorder="1"/>
    <xf numFmtId="164" fontId="32" fillId="0" borderId="0" xfId="0" applyNumberFormat="1" applyFont="1" applyFill="1" applyBorder="1"/>
    <xf numFmtId="164" fontId="32" fillId="0" borderId="6" xfId="0" applyNumberFormat="1" applyFont="1" applyBorder="1"/>
    <xf numFmtId="2" fontId="32" fillId="0" borderId="6" xfId="0" applyNumberFormat="1" applyFont="1" applyBorder="1"/>
    <xf numFmtId="164" fontId="31" fillId="0" borderId="9" xfId="0" applyNumberFormat="1" applyFont="1" applyBorder="1"/>
    <xf numFmtId="164" fontId="31" fillId="0" borderId="10" xfId="0" applyNumberFormat="1" applyFont="1" applyBorder="1"/>
    <xf numFmtId="164" fontId="32" fillId="0" borderId="10" xfId="0" applyNumberFormat="1" applyFont="1" applyFill="1" applyBorder="1"/>
    <xf numFmtId="2" fontId="32" fillId="0" borderId="10" xfId="0" applyNumberFormat="1" applyFont="1" applyBorder="1"/>
    <xf numFmtId="164" fontId="32" fillId="0" borderId="9" xfId="0" applyNumberFormat="1" applyFont="1" applyBorder="1"/>
    <xf numFmtId="0" fontId="31" fillId="0" borderId="10" xfId="0" applyFont="1" applyBorder="1"/>
    <xf numFmtId="164" fontId="32" fillId="0" borderId="0" xfId="0" applyNumberFormat="1" applyFont="1" applyBorder="1"/>
    <xf numFmtId="164" fontId="2" fillId="0" borderId="19" xfId="0" applyNumberFormat="1" applyFont="1" applyFill="1" applyBorder="1"/>
    <xf numFmtId="164" fontId="2" fillId="0" borderId="18" xfId="0" applyNumberFormat="1" applyFont="1" applyFill="1" applyBorder="1"/>
    <xf numFmtId="164" fontId="2" fillId="0" borderId="15" xfId="0" applyNumberFormat="1" applyFont="1" applyBorder="1"/>
    <xf numFmtId="164" fontId="3" fillId="0" borderId="15" xfId="0" applyNumberFormat="1" applyFont="1" applyBorder="1"/>
    <xf numFmtId="164" fontId="3" fillId="0" borderId="19" xfId="0" applyNumberFormat="1" applyFont="1" applyFill="1" applyBorder="1"/>
    <xf numFmtId="164" fontId="3" fillId="0" borderId="18" xfId="0" applyNumberFormat="1" applyFont="1" applyFill="1" applyBorder="1"/>
    <xf numFmtId="0" fontId="2" fillId="0" borderId="9" xfId="0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32" fillId="0" borderId="21" xfId="0" applyNumberFormat="1" applyFont="1" applyBorder="1"/>
    <xf numFmtId="164" fontId="2" fillId="0" borderId="16" xfId="0" applyNumberFormat="1" applyFont="1" applyBorder="1"/>
    <xf numFmtId="164" fontId="2" fillId="0" borderId="14" xfId="0" applyNumberFormat="1" applyFont="1" applyFill="1" applyBorder="1"/>
    <xf numFmtId="164" fontId="2" fillId="0" borderId="6" xfId="0" applyNumberFormat="1" applyFont="1" applyFill="1" applyBorder="1"/>
    <xf numFmtId="164" fontId="2" fillId="0" borderId="15" xfId="0" applyNumberFormat="1" applyFont="1" applyFill="1" applyBorder="1"/>
    <xf numFmtId="164" fontId="14" fillId="0" borderId="16" xfId="0" applyNumberFormat="1" applyFont="1" applyBorder="1"/>
    <xf numFmtId="164" fontId="2" fillId="0" borderId="21" xfId="0" applyNumberFormat="1" applyFont="1" applyFill="1" applyBorder="1"/>
    <xf numFmtId="164" fontId="2" fillId="0" borderId="13" xfId="0" applyNumberFormat="1" applyFont="1" applyBorder="1"/>
    <xf numFmtId="164" fontId="2" fillId="0" borderId="17" xfId="0" applyNumberFormat="1" applyFont="1" applyBorder="1"/>
    <xf numFmtId="164" fontId="4" fillId="0" borderId="10" xfId="0" applyNumberFormat="1" applyFont="1" applyBorder="1" applyAlignment="1">
      <alignment horizontal="right"/>
    </xf>
    <xf numFmtId="164" fontId="0" fillId="0" borderId="11" xfId="0" applyNumberFormat="1" applyBorder="1"/>
    <xf numFmtId="164" fontId="2" fillId="0" borderId="18" xfId="0" applyNumberFormat="1" applyFont="1" applyBorder="1"/>
    <xf numFmtId="164" fontId="2" fillId="0" borderId="8" xfId="0" applyNumberFormat="1" applyFont="1" applyBorder="1"/>
    <xf numFmtId="164" fontId="2" fillId="0" borderId="12" xfId="0" applyNumberFormat="1" applyFont="1" applyFill="1" applyBorder="1"/>
    <xf numFmtId="164" fontId="2" fillId="0" borderId="16" xfId="0" applyNumberFormat="1" applyFont="1" applyFill="1" applyBorder="1"/>
    <xf numFmtId="164" fontId="2" fillId="0" borderId="14" xfId="0" applyNumberFormat="1" applyFont="1" applyBorder="1"/>
    <xf numFmtId="164" fontId="19" fillId="0" borderId="14" xfId="0" applyNumberFormat="1" applyFont="1" applyBorder="1"/>
    <xf numFmtId="164" fontId="19" fillId="0" borderId="15" xfId="0" applyNumberFormat="1" applyFont="1" applyBorder="1"/>
    <xf numFmtId="164" fontId="2" fillId="0" borderId="9" xfId="0" applyNumberFormat="1" applyFont="1" applyFill="1" applyBorder="1"/>
    <xf numFmtId="164" fontId="0" fillId="0" borderId="12" xfId="0" applyNumberFormat="1" applyBorder="1"/>
    <xf numFmtId="164" fontId="0" fillId="0" borderId="13" xfId="0" applyNumberFormat="1" applyBorder="1"/>
    <xf numFmtId="164" fontId="2" fillId="0" borderId="14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14" fillId="0" borderId="19" xfId="0" applyNumberFormat="1" applyFont="1" applyBorder="1"/>
    <xf numFmtId="164" fontId="0" fillId="0" borderId="7" xfId="0" applyNumberForma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3" fillId="0" borderId="16" xfId="0" applyNumberFormat="1" applyFont="1" applyFill="1" applyBorder="1"/>
    <xf numFmtId="164" fontId="0" fillId="0" borderId="16" xfId="0" applyNumberFormat="1" applyBorder="1" applyAlignment="1">
      <alignment horizontal="right"/>
    </xf>
    <xf numFmtId="164" fontId="2" fillId="0" borderId="9" xfId="0" applyNumberFormat="1" applyFont="1" applyBorder="1"/>
    <xf numFmtId="164" fontId="0" fillId="2" borderId="9" xfId="0" applyNumberFormat="1" applyFill="1" applyBorder="1"/>
    <xf numFmtId="164" fontId="0" fillId="2" borderId="10" xfId="0" applyNumberFormat="1" applyFill="1" applyBorder="1"/>
    <xf numFmtId="164" fontId="0" fillId="3" borderId="10" xfId="0" applyNumberFormat="1" applyFill="1" applyBorder="1"/>
    <xf numFmtId="164" fontId="0" fillId="2" borderId="11" xfId="0" applyNumberFormat="1" applyFill="1" applyBorder="1"/>
    <xf numFmtId="164" fontId="2" fillId="0" borderId="19" xfId="0" applyNumberFormat="1" applyFont="1" applyBorder="1"/>
    <xf numFmtId="164" fontId="2" fillId="0" borderId="7" xfId="0" applyNumberFormat="1" applyFont="1" applyFill="1" applyBorder="1"/>
    <xf numFmtId="164" fontId="2" fillId="0" borderId="8" xfId="0" applyNumberFormat="1" applyFont="1" applyFill="1" applyBorder="1"/>
    <xf numFmtId="164" fontId="2" fillId="0" borderId="17" xfId="0" applyNumberFormat="1" applyFont="1" applyFill="1" applyBorder="1"/>
    <xf numFmtId="164" fontId="3" fillId="0" borderId="14" xfId="0" applyNumberFormat="1" applyFont="1" applyFill="1" applyBorder="1"/>
    <xf numFmtId="164" fontId="3" fillId="0" borderId="6" xfId="0" applyNumberFormat="1" applyFont="1" applyFill="1" applyBorder="1"/>
    <xf numFmtId="164" fontId="2" fillId="0" borderId="0" xfId="0" applyNumberFormat="1" applyFont="1" applyBorder="1" applyAlignment="1">
      <alignment horizontal="left"/>
    </xf>
    <xf numFmtId="164" fontId="16" fillId="0" borderId="21" xfId="0" applyNumberFormat="1" applyFont="1" applyBorder="1"/>
    <xf numFmtId="164" fontId="16" fillId="0" borderId="8" xfId="0" applyNumberFormat="1" applyFont="1" applyBorder="1"/>
    <xf numFmtId="164" fontId="22" fillId="0" borderId="0" xfId="0" applyNumberFormat="1" applyFont="1" applyBorder="1"/>
    <xf numFmtId="164" fontId="2" fillId="0" borderId="17" xfId="0" applyNumberFormat="1" applyFont="1" applyBorder="1" applyAlignment="1">
      <alignment horizontal="left"/>
    </xf>
    <xf numFmtId="164" fontId="4" fillId="0" borderId="9" xfId="0" applyNumberFormat="1" applyFont="1" applyBorder="1" applyAlignment="1">
      <alignment horizontal="right"/>
    </xf>
    <xf numFmtId="164" fontId="0" fillId="0" borderId="14" xfId="0" applyNumberFormat="1" applyFill="1" applyBorder="1"/>
    <xf numFmtId="164" fontId="0" fillId="0" borderId="18" xfId="0" applyNumberFormat="1" applyFill="1" applyBorder="1"/>
    <xf numFmtId="164" fontId="0" fillId="2" borderId="15" xfId="0" applyNumberFormat="1" applyFill="1" applyBorder="1"/>
    <xf numFmtId="164" fontId="3" fillId="0" borderId="0" xfId="0" applyNumberFormat="1" applyFont="1" applyBorder="1" applyAlignment="1">
      <alignment horizontal="left"/>
    </xf>
    <xf numFmtId="164" fontId="2" fillId="0" borderId="10" xfId="0" applyNumberFormat="1" applyFon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2" fillId="0" borderId="19" xfId="0" applyNumberFormat="1" applyFont="1" applyFill="1" applyBorder="1" applyAlignment="1">
      <alignment horizontal="right"/>
    </xf>
    <xf numFmtId="164" fontId="2" fillId="0" borderId="12" xfId="0" applyNumberFormat="1" applyFont="1" applyBorder="1"/>
    <xf numFmtId="164" fontId="2" fillId="0" borderId="15" xfId="0" applyNumberFormat="1" applyFont="1" applyBorder="1" applyAlignment="1">
      <alignment horizontal="right"/>
    </xf>
    <xf numFmtId="164" fontId="14" fillId="0" borderId="13" xfId="0" applyNumberFormat="1" applyFont="1" applyBorder="1"/>
    <xf numFmtId="164" fontId="2" fillId="0" borderId="16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left"/>
    </xf>
    <xf numFmtId="164" fontId="3" fillId="0" borderId="10" xfId="0" applyNumberFormat="1" applyFont="1" applyFill="1" applyBorder="1"/>
    <xf numFmtId="164" fontId="0" fillId="0" borderId="10" xfId="0" applyNumberFormat="1" applyFill="1" applyBorder="1"/>
    <xf numFmtId="164" fontId="15" fillId="0" borderId="11" xfId="0" applyNumberFormat="1" applyFont="1" applyBorder="1"/>
    <xf numFmtId="164" fontId="32" fillId="0" borderId="7" xfId="0" applyNumberFormat="1" applyFont="1" applyBorder="1"/>
    <xf numFmtId="164" fontId="3" fillId="0" borderId="14" xfId="0" applyNumberFormat="1" applyFont="1" applyBorder="1"/>
    <xf numFmtId="164" fontId="3" fillId="0" borderId="19" xfId="0" quotePrefix="1" applyNumberFormat="1" applyFont="1" applyFill="1" applyBorder="1"/>
    <xf numFmtId="164" fontId="2" fillId="0" borderId="16" xfId="0" applyNumberFormat="1" applyFont="1" applyBorder="1" applyAlignment="1">
      <alignment horizontal="left"/>
    </xf>
    <xf numFmtId="164" fontId="2" fillId="0" borderId="13" xfId="0" applyNumberFormat="1" applyFont="1" applyFill="1" applyBorder="1"/>
    <xf numFmtId="164" fontId="32" fillId="0" borderId="10" xfId="0" applyNumberFormat="1" applyFont="1" applyBorder="1" applyAlignment="1">
      <alignment horizontal="right"/>
    </xf>
    <xf numFmtId="164" fontId="32" fillId="0" borderId="10" xfId="0" applyNumberFormat="1" applyFont="1" applyBorder="1" applyAlignment="1">
      <alignment horizontal="left"/>
    </xf>
    <xf numFmtId="164" fontId="31" fillId="0" borderId="10" xfId="0" applyNumberFormat="1" applyFont="1" applyBorder="1" applyAlignment="1">
      <alignment horizontal="right"/>
    </xf>
    <xf numFmtId="164" fontId="32" fillId="0" borderId="9" xfId="0" applyNumberFormat="1" applyFont="1" applyBorder="1" applyAlignment="1">
      <alignment horizontal="right"/>
    </xf>
    <xf numFmtId="164" fontId="3" fillId="0" borderId="8" xfId="0" applyNumberFormat="1" applyFont="1" applyBorder="1"/>
    <xf numFmtId="164" fontId="3" fillId="0" borderId="19" xfId="0" applyNumberFormat="1" applyFont="1" applyBorder="1" applyAlignment="1">
      <alignment horizontal="right"/>
    </xf>
    <xf numFmtId="164" fontId="3" fillId="0" borderId="18" xfId="0" applyNumberFormat="1" applyFont="1" applyBorder="1" applyAlignment="1">
      <alignment horizontal="right"/>
    </xf>
    <xf numFmtId="164" fontId="3" fillId="0" borderId="7" xfId="0" applyNumberFormat="1" applyFont="1" applyFill="1" applyBorder="1" applyAlignment="1">
      <alignment horizontal="right"/>
    </xf>
    <xf numFmtId="164" fontId="3" fillId="0" borderId="7" xfId="0" applyNumberFormat="1" applyFont="1" applyBorder="1" applyAlignment="1"/>
    <xf numFmtId="164" fontId="3" fillId="0" borderId="8" xfId="0" applyNumberFormat="1" applyFont="1" applyBorder="1" applyAlignment="1">
      <alignment horizontal="right"/>
    </xf>
    <xf numFmtId="164" fontId="31" fillId="0" borderId="6" xfId="0" applyNumberFormat="1" applyFont="1" applyBorder="1"/>
    <xf numFmtId="164" fontId="32" fillId="0" borderId="14" xfId="0" applyNumberFormat="1" applyFont="1" applyFill="1" applyBorder="1"/>
    <xf numFmtId="164" fontId="32" fillId="0" borderId="6" xfId="0" applyNumberFormat="1" applyFont="1" applyFill="1" applyBorder="1"/>
    <xf numFmtId="164" fontId="32" fillId="0" borderId="15" xfId="0" applyNumberFormat="1" applyFont="1" applyBorder="1"/>
    <xf numFmtId="164" fontId="31" fillId="0" borderId="15" xfId="0" applyNumberFormat="1" applyFont="1" applyBorder="1"/>
    <xf numFmtId="164" fontId="0" fillId="2" borderId="18" xfId="0" applyNumberFormat="1" applyFill="1" applyBorder="1"/>
    <xf numFmtId="164" fontId="0" fillId="2" borderId="7" xfId="0" applyNumberFormat="1" applyFill="1" applyBorder="1"/>
    <xf numFmtId="164" fontId="3" fillId="0" borderId="12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8" xfId="0" applyNumberFormat="1" applyFont="1" applyBorder="1"/>
    <xf numFmtId="1" fontId="3" fillId="0" borderId="16" xfId="0" applyNumberFormat="1" applyFont="1" applyBorder="1"/>
    <xf numFmtId="1" fontId="3" fillId="0" borderId="16" xfId="0" applyNumberFormat="1" applyFont="1" applyBorder="1" applyAlignment="1">
      <alignment horizontal="right"/>
    </xf>
    <xf numFmtId="164" fontId="3" fillId="0" borderId="9" xfId="0" applyNumberFormat="1" applyFont="1" applyBorder="1"/>
    <xf numFmtId="0" fontId="4" fillId="0" borderId="14" xfId="0" applyFont="1" applyFill="1" applyBorder="1"/>
    <xf numFmtId="0" fontId="4" fillId="0" borderId="19" xfId="0" applyFont="1" applyFill="1" applyBorder="1"/>
    <xf numFmtId="3" fontId="32" fillId="0" borderId="10" xfId="0" applyNumberFormat="1" applyFont="1" applyBorder="1"/>
    <xf numFmtId="2" fontId="0" fillId="0" borderId="7" xfId="0" applyNumberFormat="1" applyBorder="1"/>
    <xf numFmtId="164" fontId="16" fillId="0" borderId="10" xfId="0" applyNumberFormat="1" applyFont="1" applyBorder="1"/>
    <xf numFmtId="0" fontId="16" fillId="0" borderId="10" xfId="0" applyFont="1" applyBorder="1"/>
    <xf numFmtId="10" fontId="32" fillId="0" borderId="10" xfId="0" applyNumberFormat="1" applyFont="1" applyBorder="1"/>
    <xf numFmtId="164" fontId="4" fillId="0" borderId="14" xfId="0" applyNumberFormat="1" applyFont="1" applyBorder="1"/>
    <xf numFmtId="164" fontId="4" fillId="0" borderId="19" xfId="0" applyNumberFormat="1" applyFont="1" applyBorder="1"/>
    <xf numFmtId="168" fontId="2" fillId="0" borderId="0" xfId="0" applyNumberFormat="1" applyFont="1" applyBorder="1"/>
    <xf numFmtId="10" fontId="2" fillId="0" borderId="7" xfId="0" applyNumberFormat="1" applyFont="1" applyBorder="1"/>
    <xf numFmtId="10" fontId="0" fillId="0" borderId="19" xfId="0" applyNumberFormat="1" applyBorder="1"/>
    <xf numFmtId="10" fontId="0" fillId="0" borderId="21" xfId="0" applyNumberFormat="1" applyBorder="1"/>
    <xf numFmtId="10" fontId="0" fillId="0" borderId="18" xfId="0" applyNumberFormat="1" applyBorder="1"/>
    <xf numFmtId="10" fontId="3" fillId="0" borderId="8" xfId="0" applyNumberFormat="1" applyFont="1" applyBorder="1"/>
    <xf numFmtId="10" fontId="2" fillId="0" borderId="14" xfId="0" applyNumberFormat="1" applyFont="1" applyBorder="1"/>
    <xf numFmtId="10" fontId="3" fillId="0" borderId="21" xfId="0" applyNumberFormat="1" applyFont="1" applyBorder="1"/>
    <xf numFmtId="2" fontId="4" fillId="0" borderId="10" xfId="0" applyNumberFormat="1" applyFont="1" applyBorder="1"/>
    <xf numFmtId="10" fontId="3" fillId="0" borderId="10" xfId="0" applyNumberFormat="1" applyFont="1" applyBorder="1"/>
    <xf numFmtId="10" fontId="0" fillId="0" borderId="11" xfId="0" applyNumberFormat="1" applyBorder="1"/>
    <xf numFmtId="10" fontId="2" fillId="0" borderId="10" xfId="0" applyNumberFormat="1" applyFont="1" applyBorder="1"/>
    <xf numFmtId="10" fontId="4" fillId="0" borderId="10" xfId="0" applyNumberFormat="1" applyFont="1" applyBorder="1"/>
    <xf numFmtId="10" fontId="2" fillId="0" borderId="11" xfId="0" applyNumberFormat="1" applyFont="1" applyBorder="1"/>
    <xf numFmtId="0" fontId="13" fillId="0" borderId="6" xfId="0" applyFont="1" applyBorder="1"/>
    <xf numFmtId="10" fontId="0" fillId="0" borderId="6" xfId="0" applyNumberFormat="1" applyBorder="1"/>
    <xf numFmtId="2" fontId="0" fillId="0" borderId="15" xfId="0" applyNumberFormat="1" applyBorder="1"/>
    <xf numFmtId="0" fontId="13" fillId="0" borderId="7" xfId="0" applyFont="1" applyBorder="1"/>
    <xf numFmtId="10" fontId="0" fillId="0" borderId="7" xfId="0" applyNumberFormat="1" applyBorder="1"/>
    <xf numFmtId="10" fontId="0" fillId="0" borderId="8" xfId="0" applyNumberFormat="1" applyBorder="1"/>
    <xf numFmtId="10" fontId="2" fillId="0" borderId="6" xfId="0" applyNumberFormat="1" applyFont="1" applyBorder="1"/>
    <xf numFmtId="10" fontId="42" fillId="0" borderId="0" xfId="0" applyNumberFormat="1" applyFont="1" applyBorder="1"/>
    <xf numFmtId="0" fontId="0" fillId="2" borderId="0" xfId="0" applyFill="1" applyBorder="1"/>
    <xf numFmtId="0" fontId="13" fillId="2" borderId="10" xfId="0" applyFont="1" applyFill="1" applyBorder="1"/>
    <xf numFmtId="10" fontId="0" fillId="2" borderId="10" xfId="0" applyNumberFormat="1" applyFill="1" applyBorder="1"/>
    <xf numFmtId="0" fontId="13" fillId="2" borderId="6" xfId="0" applyFont="1" applyFill="1" applyBorder="1"/>
    <xf numFmtId="164" fontId="0" fillId="2" borderId="6" xfId="0" applyNumberFormat="1" applyFill="1" applyBorder="1"/>
    <xf numFmtId="10" fontId="0" fillId="2" borderId="6" xfId="0" applyNumberFormat="1" applyFill="1" applyBorder="1"/>
    <xf numFmtId="0" fontId="32" fillId="0" borderId="6" xfId="0" applyFont="1" applyBorder="1"/>
    <xf numFmtId="10" fontId="32" fillId="0" borderId="6" xfId="0" applyNumberFormat="1" applyFont="1" applyBorder="1"/>
    <xf numFmtId="0" fontId="31" fillId="0" borderId="0" xfId="0" applyFont="1" applyBorder="1"/>
    <xf numFmtId="166" fontId="32" fillId="0" borderId="10" xfId="0" applyNumberFormat="1" applyFont="1" applyBorder="1"/>
    <xf numFmtId="164" fontId="17" fillId="0" borderId="18" xfId="0" applyNumberFormat="1" applyFont="1" applyBorder="1"/>
    <xf numFmtId="164" fontId="21" fillId="0" borderId="10" xfId="0" applyNumberFormat="1" applyFont="1" applyBorder="1"/>
    <xf numFmtId="10" fontId="42" fillId="0" borderId="21" xfId="0" applyNumberFormat="1" applyFont="1" applyBorder="1"/>
    <xf numFmtId="164" fontId="4" fillId="0" borderId="19" xfId="0" applyNumberFormat="1" applyFont="1" applyFill="1" applyBorder="1"/>
    <xf numFmtId="165" fontId="20" fillId="0" borderId="0" xfId="0" applyNumberFormat="1" applyFont="1" applyBorder="1"/>
    <xf numFmtId="2" fontId="20" fillId="0" borderId="0" xfId="0" applyNumberFormat="1" applyFont="1" applyBorder="1"/>
    <xf numFmtId="10" fontId="18" fillId="0" borderId="0" xfId="0" applyNumberFormat="1" applyFont="1" applyBorder="1"/>
    <xf numFmtId="165" fontId="35" fillId="0" borderId="6" xfId="0" applyNumberFormat="1" applyFont="1" applyBorder="1"/>
    <xf numFmtId="2" fontId="35" fillId="0" borderId="6" xfId="0" applyNumberFormat="1" applyFont="1" applyBorder="1"/>
    <xf numFmtId="10" fontId="0" fillId="0" borderId="15" xfId="0" applyNumberFormat="1" applyBorder="1"/>
    <xf numFmtId="10" fontId="3" fillId="0" borderId="15" xfId="0" applyNumberFormat="1" applyFont="1" applyBorder="1"/>
    <xf numFmtId="2" fontId="0" fillId="0" borderId="11" xfId="0" applyNumberFormat="1" applyBorder="1"/>
    <xf numFmtId="1" fontId="2" fillId="0" borderId="15" xfId="0" applyNumberFormat="1" applyFont="1" applyBorder="1"/>
    <xf numFmtId="1" fontId="2" fillId="0" borderId="21" xfId="0" applyNumberFormat="1" applyFont="1" applyBorder="1"/>
    <xf numFmtId="1" fontId="3" fillId="0" borderId="21" xfId="0" applyNumberFormat="1" applyFont="1" applyBorder="1"/>
    <xf numFmtId="10" fontId="32" fillId="0" borderId="7" xfId="0" applyNumberFormat="1" applyFont="1" applyBorder="1"/>
    <xf numFmtId="2" fontId="3" fillId="0" borderId="21" xfId="0" applyNumberFormat="1" applyFont="1" applyBorder="1"/>
    <xf numFmtId="0" fontId="17" fillId="0" borderId="19" xfId="0" applyFont="1" applyBorder="1"/>
    <xf numFmtId="165" fontId="32" fillId="8" borderId="10" xfId="0" applyNumberFormat="1" applyFont="1" applyFill="1" applyBorder="1"/>
    <xf numFmtId="10" fontId="3" fillId="0" borderId="6" xfId="0" applyNumberFormat="1" applyFont="1" applyBorder="1"/>
    <xf numFmtId="0" fontId="13" fillId="0" borderId="0" xfId="0" applyFont="1" applyBorder="1"/>
    <xf numFmtId="10" fontId="42" fillId="0" borderId="0" xfId="0" applyNumberFormat="1" applyFont="1" applyFill="1" applyBorder="1"/>
    <xf numFmtId="0" fontId="3" fillId="0" borderId="0" xfId="0" applyFont="1" applyFill="1"/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0" fontId="0" fillId="0" borderId="10" xfId="0" applyNumberFormat="1" applyBorder="1"/>
    <xf numFmtId="0" fontId="13" fillId="2" borderId="0" xfId="0" applyFont="1" applyFill="1" applyBorder="1"/>
    <xf numFmtId="164" fontId="0" fillId="2" borderId="0" xfId="0" applyNumberFormat="1" applyFill="1" applyBorder="1"/>
    <xf numFmtId="10" fontId="3" fillId="2" borderId="0" xfId="0" applyNumberFormat="1" applyFont="1" applyFill="1" applyBorder="1"/>
    <xf numFmtId="10" fontId="0" fillId="2" borderId="0" xfId="0" applyNumberFormat="1" applyFill="1" applyBorder="1"/>
    <xf numFmtId="10" fontId="31" fillId="0" borderId="6" xfId="0" applyNumberFormat="1" applyFont="1" applyBorder="1"/>
    <xf numFmtId="164" fontId="29" fillId="0" borderId="11" xfId="0" applyNumberFormat="1" applyFont="1" applyBorder="1"/>
    <xf numFmtId="164" fontId="29" fillId="0" borderId="6" xfId="0" applyNumberFormat="1" applyFont="1" applyBorder="1"/>
    <xf numFmtId="164" fontId="29" fillId="0" borderId="15" xfId="0" applyNumberFormat="1" applyFont="1" applyBorder="1"/>
    <xf numFmtId="164" fontId="29" fillId="0" borderId="12" xfId="0" applyNumberFormat="1" applyFont="1" applyBorder="1"/>
    <xf numFmtId="164" fontId="29" fillId="0" borderId="16" xfId="0" applyNumberFormat="1" applyFont="1" applyBorder="1"/>
    <xf numFmtId="0" fontId="43" fillId="0" borderId="21" xfId="0" applyFont="1" applyBorder="1"/>
    <xf numFmtId="10" fontId="42" fillId="0" borderId="0" xfId="3" applyNumberFormat="1" applyFont="1" applyBorder="1"/>
    <xf numFmtId="0" fontId="2" fillId="0" borderId="10" xfId="0" applyFont="1" applyFill="1" applyBorder="1"/>
    <xf numFmtId="10" fontId="32" fillId="0" borderId="9" xfId="0" applyNumberFormat="1" applyFont="1" applyBorder="1"/>
    <xf numFmtId="0" fontId="35" fillId="0" borderId="16" xfId="0" applyFont="1" applyBorder="1"/>
    <xf numFmtId="2" fontId="2" fillId="0" borderId="10" xfId="0" applyNumberFormat="1" applyFont="1" applyFill="1" applyBorder="1"/>
    <xf numFmtId="2" fontId="2" fillId="0" borderId="10" xfId="0" applyNumberFormat="1" applyFont="1" applyBorder="1"/>
    <xf numFmtId="0" fontId="44" fillId="0" borderId="0" xfId="0" applyFont="1"/>
    <xf numFmtId="0" fontId="0" fillId="0" borderId="33" xfId="0" applyBorder="1" applyAlignment="1">
      <alignment horizontal="left" indent="1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left" indent="1"/>
    </xf>
    <xf numFmtId="0" fontId="0" fillId="0" borderId="0" xfId="0" applyFill="1"/>
    <xf numFmtId="165" fontId="4" fillId="0" borderId="0" xfId="0" applyNumberFormat="1" applyFont="1" applyBorder="1"/>
    <xf numFmtId="165" fontId="4" fillId="0" borderId="7" xfId="0" applyNumberFormat="1" applyFont="1" applyBorder="1"/>
    <xf numFmtId="165" fontId="4" fillId="0" borderId="6" xfId="0" applyNumberFormat="1" applyFont="1" applyFill="1" applyBorder="1"/>
    <xf numFmtId="2" fontId="4" fillId="0" borderId="6" xfId="0" applyNumberFormat="1" applyFont="1" applyFill="1" applyBorder="1"/>
    <xf numFmtId="10" fontId="32" fillId="0" borderId="18" xfId="0" applyNumberFormat="1" applyFont="1" applyFill="1" applyBorder="1"/>
    <xf numFmtId="10" fontId="32" fillId="0" borderId="19" xfId="0" applyNumberFormat="1" applyFont="1" applyBorder="1"/>
    <xf numFmtId="0" fontId="31" fillId="0" borderId="19" xfId="0" applyFont="1" applyBorder="1"/>
    <xf numFmtId="10" fontId="31" fillId="0" borderId="19" xfId="0" applyNumberFormat="1" applyFont="1" applyBorder="1"/>
    <xf numFmtId="0" fontId="45" fillId="0" borderId="0" xfId="0" applyFont="1"/>
    <xf numFmtId="0" fontId="32" fillId="0" borderId="9" xfId="0" applyFont="1" applyFill="1" applyBorder="1"/>
    <xf numFmtId="0" fontId="3" fillId="0" borderId="9" xfId="0" applyFont="1" applyBorder="1"/>
    <xf numFmtId="0" fontId="32" fillId="0" borderId="9" xfId="0" applyFont="1" applyBorder="1"/>
    <xf numFmtId="0" fontId="32" fillId="0" borderId="19" xfId="0" applyFont="1" applyBorder="1"/>
    <xf numFmtId="0" fontId="3" fillId="2" borderId="10" xfId="0" applyFont="1" applyFill="1" applyBorder="1"/>
    <xf numFmtId="0" fontId="0" fillId="5" borderId="0" xfId="0" applyFill="1"/>
    <xf numFmtId="0" fontId="31" fillId="0" borderId="0" xfId="0" applyFont="1" applyFill="1"/>
    <xf numFmtId="17" fontId="18" fillId="0" borderId="0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3" fontId="18" fillId="0" borderId="7" xfId="0" applyNumberFormat="1" applyFont="1" applyBorder="1" applyAlignment="1">
      <alignment horizontal="center"/>
    </xf>
    <xf numFmtId="0" fontId="8" fillId="0" borderId="17" xfId="0" applyFont="1" applyFill="1" applyBorder="1"/>
    <xf numFmtId="0" fontId="47" fillId="0" borderId="7" xfId="0" applyFont="1" applyBorder="1" applyAlignment="1">
      <alignment horizontal="center"/>
    </xf>
    <xf numFmtId="3" fontId="47" fillId="0" borderId="7" xfId="0" applyNumberFormat="1" applyFont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0" xfId="0" applyFont="1" applyBorder="1" applyAlignment="1"/>
    <xf numFmtId="164" fontId="8" fillId="0" borderId="0" xfId="0" applyNumberFormat="1" applyFont="1" applyBorder="1"/>
    <xf numFmtId="2" fontId="3" fillId="0" borderId="0" xfId="0" applyNumberFormat="1" applyFont="1" applyFill="1" applyBorder="1"/>
    <xf numFmtId="2" fontId="0" fillId="0" borderId="0" xfId="0" applyNumberFormat="1" applyFill="1" applyBorder="1"/>
    <xf numFmtId="4" fontId="4" fillId="0" borderId="6" xfId="0" applyNumberFormat="1" applyFont="1" applyBorder="1"/>
    <xf numFmtId="4" fontId="2" fillId="0" borderId="0" xfId="0" applyNumberFormat="1" applyFont="1" applyBorder="1"/>
    <xf numFmtId="4" fontId="2" fillId="0" borderId="7" xfId="0" applyNumberFormat="1" applyFont="1" applyBorder="1"/>
    <xf numFmtId="4" fontId="4" fillId="0" borderId="7" xfId="0" applyNumberFormat="1" applyFont="1" applyBorder="1"/>
    <xf numFmtId="164" fontId="10" fillId="0" borderId="6" xfId="0" applyNumberFormat="1" applyFont="1" applyBorder="1"/>
    <xf numFmtId="10" fontId="10" fillId="0" borderId="6" xfId="0" applyNumberFormat="1" applyFont="1" applyBorder="1"/>
    <xf numFmtId="0" fontId="3" fillId="0" borderId="8" xfId="0" applyFont="1" applyBorder="1"/>
    <xf numFmtId="164" fontId="3" fillId="0" borderId="11" xfId="0" applyNumberFormat="1" applyFont="1" applyBorder="1"/>
    <xf numFmtId="0" fontId="32" fillId="0" borderId="18" xfId="0" applyFont="1" applyBorder="1"/>
    <xf numFmtId="165" fontId="3" fillId="0" borderId="0" xfId="0" applyNumberFormat="1" applyFont="1" applyBorder="1"/>
    <xf numFmtId="10" fontId="32" fillId="0" borderId="0" xfId="0" applyNumberFormat="1" applyFont="1" applyFill="1"/>
    <xf numFmtId="10" fontId="2" fillId="0" borderId="0" xfId="0" applyNumberFormat="1" applyFont="1"/>
    <xf numFmtId="0" fontId="32" fillId="0" borderId="0" xfId="0" applyFont="1" applyFill="1"/>
    <xf numFmtId="44" fontId="0" fillId="0" borderId="0" xfId="1" applyFont="1" applyFill="1"/>
    <xf numFmtId="2" fontId="30" fillId="0" borderId="6" xfId="0" applyNumberFormat="1" applyFont="1" applyBorder="1"/>
    <xf numFmtId="2" fontId="30" fillId="0" borderId="25" xfId="0" applyNumberFormat="1" applyFont="1" applyBorder="1"/>
    <xf numFmtId="2" fontId="32" fillId="0" borderId="10" xfId="0" applyNumberFormat="1" applyFont="1" applyFill="1" applyBorder="1"/>
    <xf numFmtId="2" fontId="32" fillId="0" borderId="0" xfId="0" applyNumberFormat="1" applyFont="1" applyFill="1"/>
    <xf numFmtId="0" fontId="15" fillId="0" borderId="6" xfId="0" applyFont="1" applyBorder="1"/>
    <xf numFmtId="164" fontId="15" fillId="0" borderId="6" xfId="0" applyNumberFormat="1" applyFont="1" applyBorder="1"/>
    <xf numFmtId="164" fontId="15" fillId="0" borderId="6" xfId="0" applyNumberFormat="1" applyFont="1" applyFill="1" applyBorder="1"/>
    <xf numFmtId="2" fontId="18" fillId="0" borderId="6" xfId="0" applyNumberFormat="1" applyFont="1" applyBorder="1"/>
    <xf numFmtId="2" fontId="18" fillId="0" borderId="15" xfId="0" applyNumberFormat="1" applyFont="1" applyBorder="1"/>
    <xf numFmtId="0" fontId="30" fillId="0" borderId="0" xfId="0" applyFont="1" applyBorder="1"/>
    <xf numFmtId="2" fontId="30" fillId="0" borderId="0" xfId="0" applyNumberFormat="1" applyFont="1" applyBorder="1"/>
    <xf numFmtId="164" fontId="18" fillId="0" borderId="0" xfId="0" applyNumberFormat="1" applyFont="1" applyFill="1" applyBorder="1"/>
    <xf numFmtId="2" fontId="18" fillId="0" borderId="0" xfId="0" applyNumberFormat="1" applyFont="1" applyFill="1" applyBorder="1"/>
    <xf numFmtId="0" fontId="0" fillId="0" borderId="0" xfId="0" applyBorder="1" applyAlignment="1">
      <alignment horizontal="right"/>
    </xf>
    <xf numFmtId="0" fontId="15" fillId="0" borderId="0" xfId="0" applyFont="1" applyBorder="1"/>
    <xf numFmtId="2" fontId="15" fillId="0" borderId="0" xfId="0" applyNumberFormat="1" applyFont="1" applyBorder="1"/>
    <xf numFmtId="2" fontId="15" fillId="0" borderId="21" xfId="0" applyNumberFormat="1" applyFont="1" applyBorder="1"/>
    <xf numFmtId="0" fontId="14" fillId="0" borderId="9" xfId="0" applyFont="1" applyBorder="1"/>
    <xf numFmtId="2" fontId="23" fillId="0" borderId="11" xfId="0" applyNumberFormat="1" applyFont="1" applyBorder="1"/>
    <xf numFmtId="2" fontId="23" fillId="0" borderId="10" xfId="0" applyNumberFormat="1" applyFont="1" applyBorder="1"/>
    <xf numFmtId="2" fontId="23" fillId="0" borderId="7" xfId="0" applyNumberFormat="1" applyFont="1" applyBorder="1"/>
    <xf numFmtId="2" fontId="23" fillId="0" borderId="8" xfId="0" applyNumberFormat="1" applyFont="1" applyBorder="1"/>
    <xf numFmtId="2" fontId="23" fillId="0" borderId="10" xfId="0" applyNumberFormat="1" applyFont="1" applyFill="1" applyBorder="1"/>
    <xf numFmtId="2" fontId="32" fillId="0" borderId="11" xfId="0" applyNumberFormat="1" applyFont="1" applyBorder="1"/>
    <xf numFmtId="2" fontId="32" fillId="0" borderId="7" xfId="0" applyNumberFormat="1" applyFont="1" applyBorder="1"/>
    <xf numFmtId="2" fontId="32" fillId="0" borderId="8" xfId="0" applyNumberFormat="1" applyFont="1" applyBorder="1"/>
    <xf numFmtId="169" fontId="48" fillId="0" borderId="0" xfId="0" applyNumberFormat="1" applyFont="1"/>
    <xf numFmtId="169" fontId="49" fillId="0" borderId="0" xfId="0" applyNumberFormat="1" applyFont="1"/>
    <xf numFmtId="0" fontId="32" fillId="0" borderId="0" xfId="0" applyFont="1" applyAlignment="1">
      <alignment horizontal="center"/>
    </xf>
    <xf numFmtId="164" fontId="14" fillId="0" borderId="10" xfId="0" applyNumberFormat="1" applyFont="1" applyBorder="1"/>
    <xf numFmtId="3" fontId="46" fillId="0" borderId="7" xfId="0" applyNumberFormat="1" applyFon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" fontId="32" fillId="0" borderId="0" xfId="0" applyNumberFormat="1" applyFont="1" applyFill="1"/>
    <xf numFmtId="1" fontId="0" fillId="0" borderId="0" xfId="0" applyNumberFormat="1"/>
    <xf numFmtId="1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/>
    <xf numFmtId="10" fontId="14" fillId="0" borderId="0" xfId="0" applyNumberFormat="1" applyFont="1" applyFill="1"/>
    <xf numFmtId="168" fontId="0" fillId="0" borderId="0" xfId="0" applyNumberFormat="1"/>
    <xf numFmtId="168" fontId="1" fillId="0" borderId="0" xfId="0" applyNumberFormat="1" applyFont="1"/>
    <xf numFmtId="1" fontId="14" fillId="0" borderId="0" xfId="0" applyNumberFormat="1" applyFont="1" applyFill="1"/>
    <xf numFmtId="10" fontId="1" fillId="0" borderId="0" xfId="0" applyNumberFormat="1" applyFont="1" applyFill="1"/>
    <xf numFmtId="3" fontId="50" fillId="0" borderId="0" xfId="0" applyNumberFormat="1" applyFont="1" applyFill="1"/>
    <xf numFmtId="0" fontId="50" fillId="0" borderId="0" xfId="0" applyFont="1" applyFill="1"/>
    <xf numFmtId="3" fontId="1" fillId="0" borderId="0" xfId="0" applyNumberFormat="1" applyFont="1" applyFill="1"/>
    <xf numFmtId="0" fontId="1" fillId="0" borderId="19" xfId="0" applyFont="1" applyFill="1" applyBorder="1"/>
    <xf numFmtId="0" fontId="8" fillId="6" borderId="24" xfId="0" applyFont="1" applyFill="1" applyBorder="1"/>
    <xf numFmtId="0" fontId="1" fillId="0" borderId="19" xfId="0" applyFont="1" applyBorder="1"/>
    <xf numFmtId="0" fontId="0" fillId="6" borderId="24" xfId="0" applyFill="1" applyBorder="1"/>
    <xf numFmtId="3" fontId="0" fillId="0" borderId="0" xfId="0" applyNumberFormat="1"/>
    <xf numFmtId="16" fontId="1" fillId="0" borderId="0" xfId="0" applyNumberFormat="1" applyFont="1"/>
    <xf numFmtId="15" fontId="0" fillId="0" borderId="0" xfId="0" applyNumberFormat="1"/>
    <xf numFmtId="0" fontId="1" fillId="0" borderId="0" xfId="0" applyFont="1" applyAlignment="1">
      <alignment horizontal="center"/>
    </xf>
    <xf numFmtId="0" fontId="51" fillId="0" borderId="0" xfId="0" applyFont="1"/>
    <xf numFmtId="0" fontId="52" fillId="0" borderId="0" xfId="0" applyFont="1"/>
    <xf numFmtId="0" fontId="3" fillId="7" borderId="32" xfId="0" applyFont="1" applyFill="1" applyBorder="1"/>
    <xf numFmtId="0" fontId="3" fillId="7" borderId="24" xfId="0" applyFont="1" applyFill="1" applyBorder="1"/>
    <xf numFmtId="0" fontId="0" fillId="5" borderId="32" xfId="0" applyFill="1" applyBorder="1"/>
    <xf numFmtId="0" fontId="0" fillId="5" borderId="32" xfId="0" applyFont="1" applyFill="1" applyBorder="1"/>
    <xf numFmtId="0" fontId="8" fillId="9" borderId="24" xfId="0" applyFont="1" applyFill="1" applyBorder="1"/>
    <xf numFmtId="0" fontId="3" fillId="9" borderId="24" xfId="0" applyFont="1" applyFill="1" applyBorder="1"/>
    <xf numFmtId="0" fontId="0" fillId="9" borderId="24" xfId="0" applyFill="1" applyBorder="1"/>
    <xf numFmtId="0" fontId="38" fillId="9" borderId="24" xfId="0" applyFont="1" applyFill="1" applyBorder="1"/>
    <xf numFmtId="0" fontId="0" fillId="9" borderId="0" xfId="0" applyFill="1"/>
    <xf numFmtId="0" fontId="0" fillId="0" borderId="19" xfId="0" applyFill="1" applyBorder="1"/>
    <xf numFmtId="0" fontId="0" fillId="6" borderId="32" xfId="0" applyFill="1" applyBorder="1"/>
    <xf numFmtId="0" fontId="0" fillId="6" borderId="32" xfId="0" applyFont="1" applyFill="1" applyBorder="1"/>
    <xf numFmtId="0" fontId="9" fillId="6" borderId="24" xfId="0" applyFont="1" applyFill="1" applyBorder="1"/>
    <xf numFmtId="0" fontId="3" fillId="5" borderId="23" xfId="0" applyFont="1" applyFill="1" applyBorder="1"/>
    <xf numFmtId="0" fontId="0" fillId="6" borderId="18" xfId="0" applyFill="1" applyBorder="1"/>
    <xf numFmtId="0" fontId="3" fillId="5" borderId="34" xfId="0" applyFont="1" applyFill="1" applyBorder="1"/>
    <xf numFmtId="0" fontId="3" fillId="5" borderId="35" xfId="0" applyFont="1" applyFill="1" applyBorder="1"/>
    <xf numFmtId="0" fontId="0" fillId="2" borderId="35" xfId="0" applyFill="1" applyBorder="1"/>
    <xf numFmtId="0" fontId="3" fillId="7" borderId="36" xfId="0" applyFont="1" applyFill="1" applyBorder="1"/>
    <xf numFmtId="0" fontId="3" fillId="5" borderId="36" xfId="0" applyFont="1" applyFill="1" applyBorder="1"/>
    <xf numFmtId="0" fontId="3" fillId="5" borderId="37" xfId="0" applyFont="1" applyFill="1" applyBorder="1"/>
    <xf numFmtId="0" fontId="0" fillId="5" borderId="35" xfId="0" applyFill="1" applyBorder="1"/>
    <xf numFmtId="0" fontId="0" fillId="5" borderId="36" xfId="0" applyFill="1" applyBorder="1"/>
    <xf numFmtId="0" fontId="0" fillId="6" borderId="36" xfId="0" applyFill="1" applyBorder="1"/>
    <xf numFmtId="0" fontId="8" fillId="9" borderId="35" xfId="0" applyFont="1" applyFill="1" applyBorder="1"/>
    <xf numFmtId="0" fontId="0" fillId="9" borderId="35" xfId="0" applyFill="1" applyBorder="1"/>
    <xf numFmtId="0" fontId="8" fillId="6" borderId="35" xfId="0" applyFont="1" applyFill="1" applyBorder="1"/>
    <xf numFmtId="0" fontId="9" fillId="6" borderId="35" xfId="0" applyFont="1" applyFill="1" applyBorder="1"/>
    <xf numFmtId="0" fontId="8" fillId="7" borderId="35" xfId="0" applyFont="1" applyFill="1" applyBorder="1"/>
    <xf numFmtId="0" fontId="0" fillId="6" borderId="38" xfId="0" applyFill="1" applyBorder="1"/>
    <xf numFmtId="0" fontId="0" fillId="6" borderId="13" xfId="0" applyFill="1" applyBorder="1"/>
    <xf numFmtId="9" fontId="0" fillId="0" borderId="0" xfId="0" applyNumberFormat="1"/>
    <xf numFmtId="0" fontId="8" fillId="9" borderId="19" xfId="0" applyFont="1" applyFill="1" applyBorder="1"/>
    <xf numFmtId="0" fontId="8" fillId="9" borderId="16" xfId="0" applyFont="1" applyFill="1" applyBorder="1"/>
    <xf numFmtId="0" fontId="0" fillId="9" borderId="16" xfId="0" applyFill="1" applyBorder="1"/>
    <xf numFmtId="0" fontId="0" fillId="10" borderId="0" xfId="0" applyFill="1" applyAlignment="1">
      <alignment horizontal="center"/>
    </xf>
    <xf numFmtId="0" fontId="1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1" fillId="6" borderId="19" xfId="0" applyFont="1" applyFill="1" applyBorder="1"/>
    <xf numFmtId="0" fontId="1" fillId="7" borderId="19" xfId="0" applyFont="1" applyFill="1" applyBorder="1"/>
    <xf numFmtId="0" fontId="0" fillId="6" borderId="35" xfId="0" applyFill="1" applyBorder="1"/>
    <xf numFmtId="0" fontId="0" fillId="6" borderId="19" xfId="0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3" fillId="7" borderId="19" xfId="0" applyFont="1" applyFill="1" applyBorder="1"/>
    <xf numFmtId="0" fontId="3" fillId="11" borderId="0" xfId="0" applyFont="1" applyFill="1"/>
    <xf numFmtId="0" fontId="2" fillId="11" borderId="0" xfId="0" applyFont="1" applyFill="1"/>
    <xf numFmtId="0" fontId="50" fillId="0" borderId="0" xfId="0" applyFont="1"/>
    <xf numFmtId="0" fontId="53" fillId="0" borderId="0" xfId="0" applyFont="1"/>
    <xf numFmtId="0" fontId="0" fillId="3" borderId="9" xfId="0" applyFill="1" applyBorder="1"/>
    <xf numFmtId="0" fontId="0" fillId="0" borderId="17" xfId="0" applyBorder="1"/>
    <xf numFmtId="0" fontId="2" fillId="0" borderId="12" xfId="0" applyFont="1" applyFill="1" applyBorder="1"/>
    <xf numFmtId="0" fontId="2" fillId="0" borderId="13" xfId="0" applyFont="1" applyFill="1" applyBorder="1"/>
    <xf numFmtId="0" fontId="0" fillId="3" borderId="17" xfId="0" applyFill="1" applyBorder="1"/>
    <xf numFmtId="164" fontId="0" fillId="0" borderId="17" xfId="0" applyNumberFormat="1" applyBorder="1"/>
    <xf numFmtId="0" fontId="2" fillId="0" borderId="12" xfId="0" applyFont="1" applyFill="1" applyBorder="1" applyAlignment="1">
      <alignment horizontal="center"/>
    </xf>
    <xf numFmtId="0" fontId="3" fillId="7" borderId="16" xfId="0" applyFont="1" applyFill="1" applyBorder="1"/>
    <xf numFmtId="0" fontId="3" fillId="7" borderId="31" xfId="0" applyFont="1" applyFill="1" applyBorder="1"/>
    <xf numFmtId="169" fontId="1" fillId="0" borderId="0" xfId="0" applyNumberFormat="1" applyFont="1"/>
    <xf numFmtId="0" fontId="2" fillId="0" borderId="16" xfId="0" applyFont="1" applyFill="1" applyBorder="1"/>
    <xf numFmtId="0" fontId="0" fillId="3" borderId="6" xfId="0" applyFill="1" applyBorder="1"/>
    <xf numFmtId="0" fontId="0" fillId="3" borderId="11" xfId="0" applyFill="1" applyBorder="1" applyAlignment="1">
      <alignment horizontal="center"/>
    </xf>
    <xf numFmtId="0" fontId="50" fillId="0" borderId="17" xfId="0" applyFont="1" applyBorder="1"/>
    <xf numFmtId="0" fontId="50" fillId="0" borderId="18" xfId="0" applyFont="1" applyBorder="1"/>
    <xf numFmtId="0" fontId="50" fillId="0" borderId="13" xfId="0" applyFont="1" applyBorder="1"/>
    <xf numFmtId="164" fontId="50" fillId="0" borderId="9" xfId="0" applyNumberFormat="1" applyFont="1" applyBorder="1"/>
    <xf numFmtId="164" fontId="50" fillId="0" borderId="17" xfId="0" applyNumberFormat="1" applyFont="1" applyBorder="1"/>
    <xf numFmtId="164" fontId="0" fillId="3" borderId="10" xfId="0" applyNumberFormat="1" applyFill="1" applyBorder="1"/>
    <xf numFmtId="164" fontId="0" fillId="3" borderId="7" xfId="0" applyNumberFormat="1" applyFill="1" applyBorder="1"/>
    <xf numFmtId="10" fontId="1" fillId="0" borderId="0" xfId="0" applyNumberFormat="1" applyFont="1"/>
    <xf numFmtId="0" fontId="1" fillId="0" borderId="13" xfId="0" applyFont="1" applyBorder="1"/>
    <xf numFmtId="0" fontId="1" fillId="0" borderId="0" xfId="0" applyFont="1" applyBorder="1" applyAlignment="1">
      <alignment horizontal="center"/>
    </xf>
    <xf numFmtId="20" fontId="2" fillId="0" borderId="16" xfId="0" applyNumberFormat="1" applyFont="1" applyFill="1" applyBorder="1" applyAlignment="1">
      <alignment horizontal="left"/>
    </xf>
    <xf numFmtId="0" fontId="1" fillId="0" borderId="16" xfId="0" applyFont="1" applyFill="1" applyBorder="1" applyAlignment="1"/>
    <xf numFmtId="10" fontId="1" fillId="0" borderId="0" xfId="0" applyNumberFormat="1" applyFont="1" applyBorder="1"/>
    <xf numFmtId="0" fontId="50" fillId="0" borderId="9" xfId="0" applyFont="1" applyBorder="1"/>
    <xf numFmtId="164" fontId="50" fillId="0" borderId="13" xfId="0" applyNumberFormat="1" applyFont="1" applyBorder="1"/>
    <xf numFmtId="0" fontId="50" fillId="0" borderId="16" xfId="0" applyFont="1" applyBorder="1"/>
    <xf numFmtId="164" fontId="50" fillId="0" borderId="16" xfId="0" applyNumberFormat="1" applyFont="1" applyBorder="1"/>
    <xf numFmtId="3" fontId="1" fillId="0" borderId="0" xfId="0" applyNumberFormat="1" applyFont="1" applyFill="1" applyAlignment="1">
      <alignment horizontal="right"/>
    </xf>
    <xf numFmtId="0" fontId="53" fillId="0" borderId="0" xfId="0" applyFont="1" applyFill="1"/>
    <xf numFmtId="3" fontId="53" fillId="0" borderId="0" xfId="0" applyNumberFormat="1" applyFont="1" applyFill="1" applyAlignment="1">
      <alignment horizontal="right"/>
    </xf>
    <xf numFmtId="0" fontId="54" fillId="0" borderId="0" xfId="0" applyFont="1"/>
    <xf numFmtId="0" fontId="54" fillId="0" borderId="0" xfId="0" applyFont="1" applyFill="1"/>
    <xf numFmtId="0" fontId="1" fillId="0" borderId="0" xfId="0" applyFont="1" applyFill="1" applyAlignment="1">
      <alignment horizontal="left"/>
    </xf>
    <xf numFmtId="0" fontId="55" fillId="0" borderId="0" xfId="0" applyFont="1" applyFill="1"/>
    <xf numFmtId="17" fontId="53" fillId="0" borderId="0" xfId="0" applyNumberFormat="1" applyFont="1" applyFill="1"/>
    <xf numFmtId="0" fontId="0" fillId="0" borderId="0" xfId="0" applyFill="1" applyAlignment="1">
      <alignment horizontal="left"/>
    </xf>
    <xf numFmtId="0" fontId="56" fillId="0" borderId="0" xfId="0" applyFont="1" applyFill="1"/>
    <xf numFmtId="3" fontId="54" fillId="0" borderId="0" xfId="0" applyNumberFormat="1" applyFont="1"/>
    <xf numFmtId="0" fontId="54" fillId="0" borderId="7" xfId="0" applyFont="1" applyBorder="1"/>
    <xf numFmtId="164" fontId="1" fillId="0" borderId="0" xfId="0" applyNumberFormat="1" applyFont="1" applyBorder="1"/>
    <xf numFmtId="0" fontId="54" fillId="0" borderId="0" xfId="0" applyFont="1" applyBorder="1"/>
    <xf numFmtId="0" fontId="53" fillId="0" borderId="0" xfId="0" applyFont="1" applyFill="1" applyBorder="1"/>
    <xf numFmtId="3" fontId="54" fillId="0" borderId="7" xfId="0" applyNumberFormat="1" applyFont="1" applyBorder="1"/>
    <xf numFmtId="0" fontId="55" fillId="0" borderId="0" xfId="0" applyFont="1"/>
    <xf numFmtId="0" fontId="1" fillId="0" borderId="0" xfId="0" applyFont="1" applyFill="1" applyBorder="1"/>
    <xf numFmtId="0" fontId="55" fillId="0" borderId="0" xfId="0" applyFont="1" applyFill="1" applyBorder="1"/>
    <xf numFmtId="0" fontId="55" fillId="0" borderId="7" xfId="0" applyFont="1" applyBorder="1"/>
    <xf numFmtId="17" fontId="1" fillId="0" borderId="0" xfId="0" applyNumberFormat="1" applyFont="1"/>
    <xf numFmtId="17" fontId="1" fillId="0" borderId="0" xfId="0" applyNumberFormat="1" applyFont="1" applyBorder="1"/>
    <xf numFmtId="0" fontId="1" fillId="0" borderId="0" xfId="0" applyFont="1" applyBorder="1" applyAlignment="1">
      <alignment horizontal="right"/>
    </xf>
    <xf numFmtId="17" fontId="1" fillId="0" borderId="0" xfId="0" applyNumberFormat="1" applyFont="1" applyFill="1" applyAlignment="1">
      <alignment horizontal="left"/>
    </xf>
    <xf numFmtId="0" fontId="55" fillId="0" borderId="7" xfId="0" applyFont="1" applyFill="1" applyBorder="1"/>
    <xf numFmtId="0" fontId="1" fillId="0" borderId="0" xfId="0" applyFont="1" applyFill="1" applyAlignment="1">
      <alignment horizontal="right"/>
    </xf>
    <xf numFmtId="0" fontId="53" fillId="0" borderId="0" xfId="0" applyFont="1" applyFill="1" applyAlignment="1">
      <alignment horizontal="right"/>
    </xf>
    <xf numFmtId="17" fontId="1" fillId="0" borderId="0" xfId="0" applyNumberFormat="1" applyFont="1" applyFill="1"/>
    <xf numFmtId="17" fontId="1" fillId="0" borderId="7" xfId="0" applyNumberFormat="1" applyFont="1" applyFill="1" applyBorder="1" applyAlignment="1">
      <alignment horizontal="left"/>
    </xf>
    <xf numFmtId="1" fontId="55" fillId="0" borderId="0" xfId="0" applyNumberFormat="1" applyFont="1"/>
    <xf numFmtId="0" fontId="57" fillId="0" borderId="0" xfId="0" applyFont="1"/>
    <xf numFmtId="164" fontId="55" fillId="0" borderId="0" xfId="0" applyNumberFormat="1" applyFont="1"/>
    <xf numFmtId="164" fontId="50" fillId="0" borderId="0" xfId="0" applyNumberFormat="1" applyFont="1"/>
    <xf numFmtId="10" fontId="14" fillId="0" borderId="14" xfId="0" applyNumberFormat="1" applyFont="1" applyBorder="1"/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0" fillId="12" borderId="0" xfId="0" applyFill="1"/>
    <xf numFmtId="0" fontId="3" fillId="13" borderId="0" xfId="0" applyFont="1" applyFill="1"/>
    <xf numFmtId="10" fontId="32" fillId="12" borderId="0" xfId="0" applyNumberFormat="1" applyFont="1" applyFill="1"/>
    <xf numFmtId="2" fontId="1" fillId="0" borderId="0" xfId="0" applyNumberFormat="1" applyFont="1" applyFill="1"/>
    <xf numFmtId="3" fontId="14" fillId="12" borderId="0" xfId="0" applyNumberFormat="1" applyFont="1" applyFill="1"/>
    <xf numFmtId="3" fontId="0" fillId="12" borderId="0" xfId="0" applyNumberFormat="1" applyFill="1"/>
    <xf numFmtId="0" fontId="50" fillId="12" borderId="0" xfId="0" applyFont="1" applyFill="1"/>
    <xf numFmtId="165" fontId="14" fillId="12" borderId="0" xfId="0" applyNumberFormat="1" applyFont="1" applyFill="1"/>
    <xf numFmtId="164" fontId="14" fillId="12" borderId="0" xfId="0" applyNumberFormat="1" applyFont="1" applyFill="1"/>
    <xf numFmtId="164" fontId="0" fillId="12" borderId="0" xfId="0" applyNumberFormat="1" applyFill="1"/>
    <xf numFmtId="164" fontId="50" fillId="12" borderId="0" xfId="0" applyNumberFormat="1" applyFont="1" applyFill="1"/>
    <xf numFmtId="0" fontId="0" fillId="14" borderId="0" xfId="0" applyFill="1"/>
    <xf numFmtId="0" fontId="32" fillId="14" borderId="0" xfId="0" applyFont="1" applyFill="1"/>
    <xf numFmtId="2" fontId="32" fillId="14" borderId="0" xfId="0" applyNumberFormat="1" applyFont="1" applyFill="1"/>
    <xf numFmtId="0" fontId="32" fillId="15" borderId="0" xfId="0" applyFont="1" applyFill="1"/>
    <xf numFmtId="2" fontId="32" fillId="15" borderId="0" xfId="0" applyNumberFormat="1" applyFont="1" applyFill="1"/>
    <xf numFmtId="0" fontId="0" fillId="15" borderId="0" xfId="0" applyFill="1"/>
    <xf numFmtId="3" fontId="14" fillId="15" borderId="0" xfId="0" applyNumberFormat="1" applyFont="1" applyFill="1"/>
    <xf numFmtId="3" fontId="0" fillId="15" borderId="0" xfId="0" applyNumberFormat="1" applyFill="1"/>
    <xf numFmtId="0" fontId="3" fillId="15" borderId="0" xfId="0" applyFont="1" applyFill="1" applyBorder="1"/>
    <xf numFmtId="0" fontId="32" fillId="12" borderId="0" xfId="0" applyFont="1" applyFill="1"/>
    <xf numFmtId="4" fontId="32" fillId="14" borderId="0" xfId="0" applyNumberFormat="1" applyFont="1" applyFill="1"/>
    <xf numFmtId="168" fontId="32" fillId="14" borderId="0" xfId="0" applyNumberFormat="1" applyFont="1" applyFill="1"/>
    <xf numFmtId="168" fontId="0" fillId="14" borderId="0" xfId="0" applyNumberFormat="1" applyFill="1"/>
    <xf numFmtId="10" fontId="3" fillId="12" borderId="0" xfId="0" applyNumberFormat="1" applyFont="1" applyFill="1"/>
    <xf numFmtId="0" fontId="14" fillId="12" borderId="0" xfId="0" applyFont="1" applyFill="1"/>
    <xf numFmtId="0" fontId="14" fillId="12" borderId="0" xfId="0" applyFont="1" applyFill="1" applyAlignment="1">
      <alignment horizontal="right"/>
    </xf>
    <xf numFmtId="10" fontId="32" fillId="12" borderId="0" xfId="1" applyNumberFormat="1" applyFont="1" applyFill="1"/>
    <xf numFmtId="3" fontId="50" fillId="12" borderId="0" xfId="0" applyNumberFormat="1" applyFont="1" applyFill="1"/>
    <xf numFmtId="10" fontId="50" fillId="12" borderId="0" xfId="0" applyNumberFormat="1" applyFont="1" applyFill="1"/>
    <xf numFmtId="168" fontId="53" fillId="15" borderId="0" xfId="0" applyNumberFormat="1" applyFont="1" applyFill="1"/>
    <xf numFmtId="10" fontId="17" fillId="15" borderId="0" xfId="0" applyNumberFormat="1" applyFont="1" applyFill="1"/>
    <xf numFmtId="168" fontId="14" fillId="15" borderId="0" xfId="0" applyNumberFormat="1" applyFont="1" applyFill="1"/>
    <xf numFmtId="2" fontId="53" fillId="15" borderId="0" xfId="0" applyNumberFormat="1" applyFont="1" applyFill="1"/>
    <xf numFmtId="0" fontId="53" fillId="15" borderId="0" xfId="0" applyFont="1" applyFill="1"/>
    <xf numFmtId="2" fontId="17" fillId="15" borderId="0" xfId="0" applyNumberFormat="1" applyFont="1" applyFill="1"/>
    <xf numFmtId="0" fontId="1" fillId="15" borderId="0" xfId="0" applyFont="1" applyFill="1"/>
    <xf numFmtId="0" fontId="53" fillId="15" borderId="0" xfId="0" applyFont="1" applyFill="1" applyAlignment="1">
      <alignment horizontal="right"/>
    </xf>
    <xf numFmtId="10" fontId="53" fillId="14" borderId="0" xfId="0" applyNumberFormat="1" applyFont="1" applyFill="1"/>
    <xf numFmtId="10" fontId="17" fillId="14" borderId="0" xfId="0" applyNumberFormat="1" applyFont="1" applyFill="1"/>
    <xf numFmtId="168" fontId="53" fillId="14" borderId="0" xfId="0" applyNumberFormat="1" applyFont="1" applyFill="1"/>
    <xf numFmtId="0" fontId="53" fillId="14" borderId="0" xfId="0" applyFont="1" applyFill="1"/>
    <xf numFmtId="2" fontId="17" fillId="14" borderId="0" xfId="0" applyNumberFormat="1" applyFont="1" applyFill="1"/>
    <xf numFmtId="2" fontId="53" fillId="14" borderId="0" xfId="0" applyNumberFormat="1" applyFont="1" applyFill="1"/>
    <xf numFmtId="164" fontId="53" fillId="14" borderId="0" xfId="0" applyNumberFormat="1" applyFont="1" applyFill="1"/>
    <xf numFmtId="18" fontId="1" fillId="0" borderId="0" xfId="0" applyNumberFormat="1" applyFont="1"/>
    <xf numFmtId="2" fontId="4" fillId="0" borderId="0" xfId="0" applyNumberFormat="1" applyFont="1"/>
    <xf numFmtId="2" fontId="1" fillId="0" borderId="0" xfId="0" applyNumberFormat="1" applyFont="1"/>
  </cellXfs>
  <cellStyles count="4">
    <cellStyle name="Currency" xfId="1" builtinId="4"/>
    <cellStyle name="Hyperlink" xfId="2" builtinId="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'Visual Assessment'!$T$8</c:f>
              <c:strCache>
                <c:ptCount val="1"/>
                <c:pt idx="0">
                  <c:v>CSgroup</c:v>
                </c:pt>
              </c:strCache>
            </c:strRef>
          </c:tx>
          <c:invertIfNegative val="0"/>
          <c:cat>
            <c:strRef>
              <c:f>'Visual Assessment'!$U$7:$W$7</c:f>
              <c:strCache>
                <c:ptCount val="3"/>
                <c:pt idx="0">
                  <c:v>CA</c:v>
                </c:pt>
                <c:pt idx="1">
                  <c:v>CS</c:v>
                </c:pt>
                <c:pt idx="2">
                  <c:v>SC</c:v>
                </c:pt>
              </c:strCache>
            </c:strRef>
          </c:cat>
          <c:val>
            <c:numRef>
              <c:f>'Visual Assessment'!$U$8:$W$8</c:f>
              <c:numCache>
                <c:formatCode>0.00</c:formatCode>
                <c:ptCount val="3"/>
                <c:pt idx="0">
                  <c:v>2.1736111111111112</c:v>
                </c:pt>
                <c:pt idx="1">
                  <c:v>2.9392361111111112</c:v>
                </c:pt>
                <c:pt idx="2">
                  <c:v>1.6510416666666667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EB-3D4B-9FA5-F14629C26FC3}"/>
            </c:ext>
          </c:extLst>
        </c:ser>
        <c:ser>
          <c:idx val="1"/>
          <c:order val="1"/>
          <c:tx>
            <c:strRef>
              <c:f>'Visual Assessment'!$T$9</c:f>
              <c:strCache>
                <c:ptCount val="1"/>
                <c:pt idx="0">
                  <c:v>CAgroup</c:v>
                </c:pt>
              </c:strCache>
            </c:strRef>
          </c:tx>
          <c:invertIfNegative val="0"/>
          <c:cat>
            <c:strRef>
              <c:f>'Visual Assessment'!$U$7:$W$7</c:f>
              <c:strCache>
                <c:ptCount val="3"/>
                <c:pt idx="0">
                  <c:v>CA</c:v>
                </c:pt>
                <c:pt idx="1">
                  <c:v>CS</c:v>
                </c:pt>
                <c:pt idx="2">
                  <c:v>SC</c:v>
                </c:pt>
              </c:strCache>
            </c:strRef>
          </c:cat>
          <c:val>
            <c:numRef>
              <c:f>'Visual Assessment'!$U$9:$W$9</c:f>
              <c:numCache>
                <c:formatCode>0.00</c:formatCode>
                <c:ptCount val="3"/>
                <c:pt idx="0">
                  <c:v>1.8669354838709677</c:v>
                </c:pt>
                <c:pt idx="1">
                  <c:v>2.6693548387096775</c:v>
                </c:pt>
                <c:pt idx="2">
                  <c:v>1.9375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EB-3D4B-9FA5-F14629C26FC3}"/>
            </c:ext>
          </c:extLst>
        </c:ser>
        <c:ser>
          <c:idx val="2"/>
          <c:order val="2"/>
          <c:tx>
            <c:strRef>
              <c:f>'Visual Assessment'!$T$10</c:f>
              <c:strCache>
                <c:ptCount val="1"/>
                <c:pt idx="0">
                  <c:v>SCgroup</c:v>
                </c:pt>
              </c:strCache>
            </c:strRef>
          </c:tx>
          <c:invertIfNegative val="0"/>
          <c:cat>
            <c:strRef>
              <c:f>'Visual Assessment'!$U$7:$W$7</c:f>
              <c:strCache>
                <c:ptCount val="3"/>
                <c:pt idx="0">
                  <c:v>CA</c:v>
                </c:pt>
                <c:pt idx="1">
                  <c:v>CS</c:v>
                </c:pt>
                <c:pt idx="2">
                  <c:v>SC</c:v>
                </c:pt>
              </c:strCache>
            </c:strRef>
          </c:cat>
          <c:val>
            <c:numRef>
              <c:f>'Visual Assessment'!$U$10:$W$10</c:f>
              <c:numCache>
                <c:formatCode>0.00</c:formatCode>
                <c:ptCount val="3"/>
                <c:pt idx="0">
                  <c:v>2.2250000000000001</c:v>
                </c:pt>
                <c:pt idx="1">
                  <c:v>3.1124999999999998</c:v>
                </c:pt>
                <c:pt idx="2">
                  <c:v>1.7250000000000001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EB-3D4B-9FA5-F14629C26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220672"/>
        <c:axId val="54222208"/>
        <c:axId val="54207360"/>
      </c:bar3DChart>
      <c:catAx>
        <c:axId val="54220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4222208"/>
        <c:crosses val="autoZero"/>
        <c:auto val="1"/>
        <c:lblAlgn val="ctr"/>
        <c:lblOffset val="100"/>
        <c:noMultiLvlLbl val="0"/>
      </c:catAx>
      <c:valAx>
        <c:axId val="5422220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220672"/>
        <c:crosses val="autoZero"/>
        <c:crossBetween val="between"/>
      </c:valAx>
      <c:serAx>
        <c:axId val="54207360"/>
        <c:scaling>
          <c:orientation val="minMax"/>
        </c:scaling>
        <c:delete val="0"/>
        <c:axPos val="b"/>
        <c:majorTickMark val="out"/>
        <c:minorTickMark val="none"/>
        <c:tickLblPos val="nextTo"/>
        <c:crossAx val="54222208"/>
        <c:crosses val="autoZero"/>
      </c:serAx>
      <c:dTable>
        <c:showHorzBorder val="1"/>
        <c:showVertBorder val="1"/>
        <c:showOutline val="1"/>
        <c:showKeys val="0"/>
      </c:dTable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'Visual Assessment'!$T$29</c:f>
              <c:strCache>
                <c:ptCount val="1"/>
                <c:pt idx="0">
                  <c:v>CA</c:v>
                </c:pt>
              </c:strCache>
            </c:strRef>
          </c:tx>
          <c:invertIfNegative val="0"/>
          <c:cat>
            <c:strRef>
              <c:f>'Visual Assessment'!$U$28:$W$28</c:f>
              <c:strCache>
                <c:ptCount val="3"/>
                <c:pt idx="0">
                  <c:v>CSgroup</c:v>
                </c:pt>
                <c:pt idx="1">
                  <c:v>CAgroup</c:v>
                </c:pt>
                <c:pt idx="2">
                  <c:v>SCgroup</c:v>
                </c:pt>
              </c:strCache>
            </c:strRef>
          </c:cat>
          <c:val>
            <c:numRef>
              <c:f>'Visual Assessment'!$U$29:$W$29</c:f>
              <c:numCache>
                <c:formatCode>0.00</c:formatCode>
                <c:ptCount val="3"/>
                <c:pt idx="0">
                  <c:v>2.1736111111111112</c:v>
                </c:pt>
                <c:pt idx="1">
                  <c:v>1.87</c:v>
                </c:pt>
                <c:pt idx="2">
                  <c:v>2.23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62-EE4C-8554-2A960DF71B48}"/>
            </c:ext>
          </c:extLst>
        </c:ser>
        <c:ser>
          <c:idx val="1"/>
          <c:order val="1"/>
          <c:tx>
            <c:strRef>
              <c:f>'Visual Assessment'!$T$30</c:f>
              <c:strCache>
                <c:ptCount val="1"/>
                <c:pt idx="0">
                  <c:v>CS</c:v>
                </c:pt>
              </c:strCache>
            </c:strRef>
          </c:tx>
          <c:invertIfNegative val="0"/>
          <c:cat>
            <c:strRef>
              <c:f>'Visual Assessment'!$U$28:$W$28</c:f>
              <c:strCache>
                <c:ptCount val="3"/>
                <c:pt idx="0">
                  <c:v>CSgroup</c:v>
                </c:pt>
                <c:pt idx="1">
                  <c:v>CAgroup</c:v>
                </c:pt>
                <c:pt idx="2">
                  <c:v>SCgroup</c:v>
                </c:pt>
              </c:strCache>
            </c:strRef>
          </c:cat>
          <c:val>
            <c:numRef>
              <c:f>'Visual Assessment'!$U$30:$W$30</c:f>
              <c:numCache>
                <c:formatCode>0.00</c:formatCode>
                <c:ptCount val="3"/>
                <c:pt idx="0">
                  <c:v>2.94</c:v>
                </c:pt>
                <c:pt idx="1">
                  <c:v>2.67</c:v>
                </c:pt>
                <c:pt idx="2">
                  <c:v>3.11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62-EE4C-8554-2A960DF71B48}"/>
            </c:ext>
          </c:extLst>
        </c:ser>
        <c:ser>
          <c:idx val="2"/>
          <c:order val="2"/>
          <c:tx>
            <c:strRef>
              <c:f>'Visual Assessment'!$T$31</c:f>
              <c:strCache>
                <c:ptCount val="1"/>
                <c:pt idx="0">
                  <c:v>SC</c:v>
                </c:pt>
              </c:strCache>
            </c:strRef>
          </c:tx>
          <c:invertIfNegative val="0"/>
          <c:cat>
            <c:strRef>
              <c:f>'Visual Assessment'!$U$28:$W$28</c:f>
              <c:strCache>
                <c:ptCount val="3"/>
                <c:pt idx="0">
                  <c:v>CSgroup</c:v>
                </c:pt>
                <c:pt idx="1">
                  <c:v>CAgroup</c:v>
                </c:pt>
                <c:pt idx="2">
                  <c:v>SCgroup</c:v>
                </c:pt>
              </c:strCache>
            </c:strRef>
          </c:cat>
          <c:val>
            <c:numRef>
              <c:f>'Visual Assessment'!$U$31:$W$31</c:f>
              <c:numCache>
                <c:formatCode>0.00</c:formatCode>
                <c:ptCount val="3"/>
                <c:pt idx="0">
                  <c:v>1.65</c:v>
                </c:pt>
                <c:pt idx="1">
                  <c:v>1.94</c:v>
                </c:pt>
                <c:pt idx="2">
                  <c:v>1.73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62-EE4C-8554-2A960DF71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6043392"/>
        <c:axId val="96060544"/>
        <c:axId val="95860032"/>
      </c:bar3DChart>
      <c:catAx>
        <c:axId val="96043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6060544"/>
        <c:crosses val="autoZero"/>
        <c:auto val="1"/>
        <c:lblAlgn val="ctr"/>
        <c:lblOffset val="100"/>
        <c:noMultiLvlLbl val="0"/>
      </c:catAx>
      <c:valAx>
        <c:axId val="960605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6043392"/>
        <c:crosses val="autoZero"/>
        <c:crossBetween val="between"/>
      </c:valAx>
      <c:serAx>
        <c:axId val="95860032"/>
        <c:scaling>
          <c:orientation val="minMax"/>
        </c:scaling>
        <c:delete val="0"/>
        <c:axPos val="b"/>
        <c:majorTickMark val="out"/>
        <c:minorTickMark val="none"/>
        <c:tickLblPos val="nextTo"/>
        <c:crossAx val="96060544"/>
        <c:crosses val="autoZero"/>
      </c:serAx>
      <c:dTable>
        <c:showHorzBorder val="1"/>
        <c:showVertBorder val="1"/>
        <c:showOutline val="1"/>
        <c:showKeys val="0"/>
      </c:dTable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2">
                    <a:lumMod val="75000"/>
                  </a:schemeClr>
                </a:solidFill>
              </a:defRPr>
            </a:pPr>
            <a:r>
              <a:rPr lang="en-US" sz="1600">
                <a:solidFill>
                  <a:schemeClr val="accent2">
                    <a:lumMod val="75000"/>
                  </a:schemeClr>
                </a:solidFill>
              </a:rPr>
              <a:t>Chart</a:t>
            </a:r>
            <a:r>
              <a:rPr lang="en-US" sz="1600" baseline="0">
                <a:solidFill>
                  <a:schemeClr val="accent2">
                    <a:lumMod val="75000"/>
                  </a:schemeClr>
                </a:solidFill>
              </a:rPr>
              <a:t> 10: User Survey Results: </a:t>
            </a:r>
          </a:p>
          <a:p>
            <a:pPr>
              <a:defRPr>
                <a:solidFill>
                  <a:schemeClr val="accent2">
                    <a:lumMod val="75000"/>
                  </a:schemeClr>
                </a:solidFill>
              </a:defRPr>
            </a:pPr>
            <a:r>
              <a:rPr lang="en-US" sz="1600" baseline="0">
                <a:solidFill>
                  <a:schemeClr val="accent2">
                    <a:lumMod val="75000"/>
                  </a:schemeClr>
                </a:solidFill>
              </a:rPr>
              <a:t>"Very Attractive" </a:t>
            </a:r>
            <a:endParaRPr lang="en-US" sz="1600">
              <a:solidFill>
                <a:schemeClr val="accent2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24900000000000008"/>
          <c:y val="3.1558185404339252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1"/>
            <c:invertIfNegative val="0"/>
            <c:bubble3D val="0"/>
            <c:spPr>
              <a:solidFill>
                <a:srgbClr val="000099"/>
              </a:solidFill>
            </c:spPr>
            <c:extLst>
              <c:ext xmlns:c16="http://schemas.microsoft.com/office/drawing/2014/chart" uri="{C3380CC4-5D6E-409C-BE32-E72D297353CC}">
                <c16:uniqueId val="{00000000-650A-A846-8543-9E8549A9B72D}"/>
              </c:ext>
            </c:extLst>
          </c:dPt>
          <c:dPt>
            <c:idx val="5"/>
            <c:invertIfNegative val="0"/>
            <c:bubble3D val="0"/>
            <c:spPr>
              <a:solidFill>
                <a:srgbClr val="000099"/>
              </a:solidFill>
            </c:spPr>
            <c:extLst>
              <c:ext xmlns:c16="http://schemas.microsoft.com/office/drawing/2014/chart" uri="{C3380CC4-5D6E-409C-BE32-E72D297353CC}">
                <c16:uniqueId val="{00000001-650A-A846-8543-9E8549A9B72D}"/>
              </c:ext>
            </c:extLst>
          </c:dPt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50A-A846-8543-9E8549A9B72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chemeClr val="accent1"/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Charts!$A$2:$G$2</c:f>
              <c:strCache>
                <c:ptCount val="7"/>
                <c:pt idx="0">
                  <c:v>LS</c:v>
                </c:pt>
                <c:pt idx="1">
                  <c:v>KE</c:v>
                </c:pt>
                <c:pt idx="2">
                  <c:v>TA</c:v>
                </c:pt>
                <c:pt idx="3">
                  <c:v> </c:v>
                </c:pt>
                <c:pt idx="4">
                  <c:v>SC</c:v>
                </c:pt>
                <c:pt idx="5">
                  <c:v>CS</c:v>
                </c:pt>
                <c:pt idx="6">
                  <c:v>CA</c:v>
                </c:pt>
              </c:strCache>
            </c:strRef>
          </c:cat>
          <c:val>
            <c:numRef>
              <c:f>Charts!$A$3:$G$3</c:f>
              <c:numCache>
                <c:formatCode>0.00%</c:formatCode>
                <c:ptCount val="7"/>
                <c:pt idx="0">
                  <c:v>2.5000000000000001E-2</c:v>
                </c:pt>
                <c:pt idx="1">
                  <c:v>0.52049999999999996</c:v>
                </c:pt>
                <c:pt idx="2">
                  <c:v>0.21279999999999999</c:v>
                </c:pt>
                <c:pt idx="3">
                  <c:v>0</c:v>
                </c:pt>
                <c:pt idx="4">
                  <c:v>0.29549999999999998</c:v>
                </c:pt>
                <c:pt idx="5">
                  <c:v>0.48820000000000002</c:v>
                </c:pt>
                <c:pt idx="6">
                  <c:v>0.14630000000000001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0A-A846-8543-9E8549A9B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203072"/>
        <c:axId val="71205248"/>
      </c:barChart>
      <c:catAx>
        <c:axId val="7120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r>
                  <a:rPr lang="en-US" sz="1400">
                    <a:solidFill>
                      <a:schemeClr val="accent2">
                        <a:lumMod val="75000"/>
                      </a:schemeClr>
                    </a:solidFill>
                  </a:rPr>
                  <a:t>Street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solidFill>
                  <a:srgbClr val="000099"/>
                </a:solidFill>
              </a:defRPr>
            </a:pPr>
            <a:endParaRPr lang="en-US"/>
          </a:p>
        </c:txPr>
        <c:crossAx val="71205248"/>
        <c:crosses val="autoZero"/>
        <c:auto val="1"/>
        <c:lblAlgn val="ctr"/>
        <c:lblOffset val="100"/>
        <c:noMultiLvlLbl val="0"/>
      </c:catAx>
      <c:valAx>
        <c:axId val="712052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r>
                  <a:rPr lang="en-US" sz="1400" baseline="0">
                    <a:solidFill>
                      <a:schemeClr val="accent2">
                        <a:lumMod val="75000"/>
                      </a:schemeClr>
                    </a:solidFill>
                  </a:rPr>
                  <a:t>%</a:t>
                </a:r>
              </a:p>
              <a:p>
                <a:pPr>
                  <a:defRPr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n-US" sz="1400" baseline="0">
                  <a:solidFill>
                    <a:schemeClr val="accent2">
                      <a:lumMod val="75000"/>
                    </a:schemeClr>
                  </a:solidFill>
                </a:endParaRPr>
              </a:p>
              <a:p>
                <a:pPr>
                  <a:defRPr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n-US" sz="1400" baseline="0">
                  <a:solidFill>
                    <a:schemeClr val="accent2">
                      <a:lumMod val="75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3.0555555555555565E-2"/>
              <c:y val="0.3841898460917238"/>
            </c:manualLayout>
          </c:layout>
          <c:overlay val="0"/>
          <c:spPr>
            <a:noFill/>
            <a:ln w="25400">
              <a:noFill/>
            </a:ln>
          </c:spPr>
        </c:title>
        <c:numFmt formatCode="0.00%" sourceLinked="1"/>
        <c:majorTickMark val="out"/>
        <c:minorTickMark val="none"/>
        <c:tickLblPos val="nextTo"/>
        <c:crossAx val="71203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Charts!$U$8:$W$8</c:f>
              <c:numCache>
                <c:formatCode>#,##0</c:formatCode>
                <c:ptCount val="3"/>
                <c:pt idx="0">
                  <c:v>41000</c:v>
                </c:pt>
                <c:pt idx="1">
                  <c:v>47000</c:v>
                </c:pt>
                <c:pt idx="2">
                  <c:v>15600</c:v>
                </c:pt>
              </c:numCache>
            </c:numRef>
          </c:xVal>
          <c:yVal>
            <c:numRef>
              <c:f>Charts!$U$9:$W$9</c:f>
              <c:numCache>
                <c:formatCode>General</c:formatCode>
                <c:ptCount val="3"/>
                <c:pt idx="0">
                  <c:v>234.60000000000002</c:v>
                </c:pt>
                <c:pt idx="1">
                  <c:v>435.59999999999997</c:v>
                </c:pt>
                <c:pt idx="2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3A-C04C-B878-EC693B025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17120"/>
        <c:axId val="70518656"/>
      </c:scatterChart>
      <c:valAx>
        <c:axId val="70517120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0518656"/>
        <c:crosses val="autoZero"/>
        <c:crossBetween val="midCat"/>
      </c:valAx>
      <c:valAx>
        <c:axId val="70518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1712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416666666666652"/>
          <c:y val="0.4548611111111111"/>
          <c:w val="0.12708333333333341"/>
          <c:h val="8.33333333333333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Charts!$U$9:$W$9</c:f>
              <c:strCache>
                <c:ptCount val="3"/>
                <c:pt idx="0">
                  <c:v>234.6</c:v>
                </c:pt>
                <c:pt idx="1">
                  <c:v>435.6</c:v>
                </c:pt>
                <c:pt idx="2">
                  <c:v>75</c:v>
                </c:pt>
              </c:strCache>
            </c:strRef>
          </c:tx>
          <c:spPr>
            <a:ln w="28575">
              <a:noFill/>
            </a:ln>
          </c:spPr>
          <c:xVal>
            <c:numRef>
              <c:f>Charts!$X$8:$Z$8</c:f>
              <c:numCache>
                <c:formatCode>#,##0</c:formatCode>
                <c:ptCount val="3"/>
                <c:pt idx="0">
                  <c:v>20000</c:v>
                </c:pt>
                <c:pt idx="1">
                  <c:v>15500</c:v>
                </c:pt>
                <c:pt idx="2">
                  <c:v>9700</c:v>
                </c:pt>
              </c:numCache>
            </c:numRef>
          </c:xVal>
          <c:yVal>
            <c:numRef>
              <c:f>Charts!$X$9:$Z$9</c:f>
              <c:numCache>
                <c:formatCode>General</c:formatCode>
                <c:ptCount val="3"/>
                <c:pt idx="0">
                  <c:v>126.6</c:v>
                </c:pt>
                <c:pt idx="1">
                  <c:v>470.4</c:v>
                </c:pt>
                <c:pt idx="2">
                  <c:v>378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70-A544-9F1F-D30F708F6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46560"/>
        <c:axId val="70548096"/>
      </c:scatterChart>
      <c:valAx>
        <c:axId val="70546560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0548096"/>
        <c:crosses val="autoZero"/>
        <c:crossBetween val="midCat"/>
      </c:valAx>
      <c:valAx>
        <c:axId val="70548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465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666666666666672"/>
          <c:y val="0.52777777777777779"/>
          <c:w val="0.21458333333333346"/>
          <c:h val="8.333333333333334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600">
                <a:solidFill>
                  <a:srgbClr val="000099"/>
                </a:solidFill>
              </a:rPr>
              <a:t>Chart 16: Relationship</a:t>
            </a:r>
            <a:r>
              <a:rPr lang="en-US" sz="1600" baseline="0">
                <a:solidFill>
                  <a:srgbClr val="000099"/>
                </a:solidFill>
              </a:rPr>
              <a:t> between Ped Volumes and Vehicle Volumes</a:t>
            </a:r>
            <a:endParaRPr lang="en-US" sz="1600">
              <a:solidFill>
                <a:srgbClr val="000099"/>
              </a:solidFill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005796150481665"/>
          <c:y val="0.28728018372703712"/>
          <c:w val="0.38085870516186277"/>
          <c:h val="0.4435954359871682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Charts!$U$8:$Z$8</c:f>
              <c:numCache>
                <c:formatCode>#,##0</c:formatCode>
                <c:ptCount val="6"/>
                <c:pt idx="0">
                  <c:v>41000</c:v>
                </c:pt>
                <c:pt idx="1">
                  <c:v>47000</c:v>
                </c:pt>
                <c:pt idx="2">
                  <c:v>15600</c:v>
                </c:pt>
                <c:pt idx="3">
                  <c:v>20000</c:v>
                </c:pt>
                <c:pt idx="4">
                  <c:v>15500</c:v>
                </c:pt>
                <c:pt idx="5">
                  <c:v>9700</c:v>
                </c:pt>
              </c:numCache>
            </c:numRef>
          </c:xVal>
          <c:yVal>
            <c:numRef>
              <c:f>Charts!$U$9:$Z$9</c:f>
              <c:numCache>
                <c:formatCode>General</c:formatCode>
                <c:ptCount val="6"/>
                <c:pt idx="0">
                  <c:v>234.60000000000002</c:v>
                </c:pt>
                <c:pt idx="1">
                  <c:v>435.59999999999997</c:v>
                </c:pt>
                <c:pt idx="2">
                  <c:v>75</c:v>
                </c:pt>
                <c:pt idx="3">
                  <c:v>126.6</c:v>
                </c:pt>
                <c:pt idx="4">
                  <c:v>470.4</c:v>
                </c:pt>
                <c:pt idx="5">
                  <c:v>378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13-6244-8338-51AF7B8F6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14720"/>
        <c:axId val="71382144"/>
      </c:scatterChart>
      <c:valAx>
        <c:axId val="7081472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>
                    <a:solidFill>
                      <a:srgbClr val="000099"/>
                    </a:solidFill>
                  </a:defRPr>
                </a:pPr>
                <a:r>
                  <a:rPr lang="en-US" sz="1200">
                    <a:solidFill>
                      <a:srgbClr val="000099"/>
                    </a:solidFill>
                  </a:rPr>
                  <a:t>AADT</a:t>
                </a:r>
                <a:r>
                  <a:rPr lang="en-US" sz="1200" baseline="0">
                    <a:solidFill>
                      <a:srgbClr val="000099"/>
                    </a:solidFill>
                  </a:rPr>
                  <a:t> Volumes</a:t>
                </a:r>
                <a:endParaRPr lang="en-US" sz="1200">
                  <a:solidFill>
                    <a:srgbClr val="000099"/>
                  </a:solidFill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1382144"/>
        <c:crosses val="autoZero"/>
        <c:crossBetween val="midCat"/>
      </c:valAx>
      <c:valAx>
        <c:axId val="71382144"/>
        <c:scaling>
          <c:orientation val="minMax"/>
        </c:scaling>
        <c:delete val="0"/>
        <c:axPos val="l"/>
        <c:majorGridlines/>
        <c:min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inorGridlines>
        <c:title>
          <c:tx>
            <c:rich>
              <a:bodyPr rot="0" vert="horz"/>
              <a:lstStyle/>
              <a:p>
                <a:pPr>
                  <a:defRPr sz="1200">
                    <a:solidFill>
                      <a:srgbClr val="000099"/>
                    </a:solidFill>
                  </a:defRPr>
                </a:pPr>
                <a:r>
                  <a:rPr lang="en-US" sz="1200">
                    <a:solidFill>
                      <a:srgbClr val="000099"/>
                    </a:solidFill>
                  </a:rPr>
                  <a:t>Peds/</a:t>
                </a:r>
                <a:r>
                  <a:rPr lang="en-US" sz="1200" baseline="0">
                    <a:solidFill>
                      <a:srgbClr val="000099"/>
                    </a:solidFill>
                  </a:rPr>
                  <a:t>Hour</a:t>
                </a:r>
                <a:endParaRPr lang="en-US" sz="1200">
                  <a:solidFill>
                    <a:srgbClr val="000099"/>
                  </a:solidFill>
                </a:endParaRPr>
              </a:p>
            </c:rich>
          </c:tx>
          <c:overlay val="0"/>
          <c:spPr>
            <a:ln>
              <a:solidFill>
                <a:srgbClr val="000099"/>
              </a:solidFill>
            </a:ln>
          </c:spPr>
        </c:title>
        <c:numFmt formatCode="General" sourceLinked="1"/>
        <c:majorTickMark val="out"/>
        <c:minorTickMark val="none"/>
        <c:tickLblPos val="nextTo"/>
        <c:crossAx val="708147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1.jpeg"/><Relationship Id="rId1" Type="http://schemas.openxmlformats.org/officeDocument/2006/relationships/chart" Target="../charts/chart3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523875</xdr:colOff>
      <xdr:row>5</xdr:row>
      <xdr:rowOff>114300</xdr:rowOff>
    </xdr:from>
    <xdr:to>
      <xdr:col>31</xdr:col>
      <xdr:colOff>219075</xdr:colOff>
      <xdr:row>22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104775</xdr:colOff>
      <xdr:row>23</xdr:row>
      <xdr:rowOff>85725</xdr:rowOff>
    </xdr:from>
    <xdr:to>
      <xdr:col>31</xdr:col>
      <xdr:colOff>409575</xdr:colOff>
      <xdr:row>40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438150</xdr:colOff>
      <xdr:row>11</xdr:row>
      <xdr:rowOff>47625</xdr:rowOff>
    </xdr:from>
    <xdr:to>
      <xdr:col>18</xdr:col>
      <xdr:colOff>133350</xdr:colOff>
      <xdr:row>31</xdr:row>
      <xdr:rowOff>28575</xdr:rowOff>
    </xdr:to>
    <xdr:graphicFrame macro="">
      <xdr:nvGraphicFramePr>
        <xdr:cNvPr id="4097" name="Chart 6">
          <a:extLst>
            <a:ext uri="{FF2B5EF4-FFF2-40B4-BE49-F238E27FC236}">
              <a16:creationId xmlns:a16="http://schemas.microsoft.com/office/drawing/2014/main" id="{00000000-0008-0000-0800-000001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25</xdr:row>
      <xdr:rowOff>0</xdr:rowOff>
    </xdr:from>
    <xdr:to>
      <xdr:col>8</xdr:col>
      <xdr:colOff>323850</xdr:colOff>
      <xdr:row>45</xdr:row>
      <xdr:rowOff>0</xdr:rowOff>
    </xdr:to>
    <xdr:pic>
      <xdr:nvPicPr>
        <xdr:cNvPr id="4098" name="Picture 7">
          <a:extLst>
            <a:ext uri="{FF2B5EF4-FFF2-40B4-BE49-F238E27FC236}">
              <a16:creationId xmlns:a16="http://schemas.microsoft.com/office/drawing/2014/main" id="{00000000-0008-0000-0800-0000021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50" y="4048125"/>
          <a:ext cx="4591050" cy="3238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18</xdr:col>
      <xdr:colOff>76200</xdr:colOff>
      <xdr:row>10</xdr:row>
      <xdr:rowOff>123825</xdr:rowOff>
    </xdr:from>
    <xdr:to>
      <xdr:col>25</xdr:col>
      <xdr:colOff>381000</xdr:colOff>
      <xdr:row>27</xdr:row>
      <xdr:rowOff>114300</xdr:rowOff>
    </xdr:to>
    <xdr:graphicFrame macro="">
      <xdr:nvGraphicFramePr>
        <xdr:cNvPr id="4099" name="Chart 15">
          <a:extLst>
            <a:ext uri="{FF2B5EF4-FFF2-40B4-BE49-F238E27FC236}">
              <a16:creationId xmlns:a16="http://schemas.microsoft.com/office/drawing/2014/main" id="{00000000-0008-0000-0800-000003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76200</xdr:colOff>
      <xdr:row>10</xdr:row>
      <xdr:rowOff>123825</xdr:rowOff>
    </xdr:from>
    <xdr:to>
      <xdr:col>25</xdr:col>
      <xdr:colOff>381000</xdr:colOff>
      <xdr:row>27</xdr:row>
      <xdr:rowOff>114300</xdr:rowOff>
    </xdr:to>
    <xdr:graphicFrame macro="">
      <xdr:nvGraphicFramePr>
        <xdr:cNvPr id="4100" name="Chart 16">
          <a:extLst>
            <a:ext uri="{FF2B5EF4-FFF2-40B4-BE49-F238E27FC236}">
              <a16:creationId xmlns:a16="http://schemas.microsoft.com/office/drawing/2014/main" id="{00000000-0008-0000-0800-000004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133350</xdr:colOff>
      <xdr:row>10</xdr:row>
      <xdr:rowOff>19050</xdr:rowOff>
    </xdr:from>
    <xdr:to>
      <xdr:col>25</xdr:col>
      <xdr:colOff>438150</xdr:colOff>
      <xdr:row>27</xdr:row>
      <xdr:rowOff>9525</xdr:rowOff>
    </xdr:to>
    <xdr:graphicFrame macro="">
      <xdr:nvGraphicFramePr>
        <xdr:cNvPr id="4101" name="Chart 17">
          <a:extLst>
            <a:ext uri="{FF2B5EF4-FFF2-40B4-BE49-F238E27FC236}">
              <a16:creationId xmlns:a16="http://schemas.microsoft.com/office/drawing/2014/main" id="{00000000-0008-0000-0800-000005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51"/>
  <sheetViews>
    <sheetView topLeftCell="A45" workbookViewId="0">
      <selection activeCell="A83" sqref="A83"/>
    </sheetView>
  </sheetViews>
  <sheetFormatPr baseColWidth="10" defaultColWidth="8.83203125" defaultRowHeight="14" x14ac:dyDescent="0.15"/>
  <cols>
    <col min="1" max="1" width="45.5" bestFit="1" customWidth="1"/>
    <col min="3" max="4" width="10.33203125" bestFit="1" customWidth="1"/>
    <col min="5" max="5" width="11.6640625" bestFit="1" customWidth="1"/>
    <col min="7" max="9" width="10.33203125" bestFit="1" customWidth="1"/>
    <col min="11" max="12" width="10.6640625" bestFit="1" customWidth="1"/>
    <col min="29" max="29" width="9.1640625" style="791"/>
  </cols>
  <sheetData>
    <row r="1" spans="1:29" ht="16" x14ac:dyDescent="0.2">
      <c r="A1" s="528" t="s">
        <v>731</v>
      </c>
      <c r="AC1" s="528"/>
    </row>
    <row r="2" spans="1:29" ht="16" x14ac:dyDescent="0.2">
      <c r="A2" s="528"/>
      <c r="C2" s="305" t="s">
        <v>656</v>
      </c>
      <c r="D2" s="530" t="s">
        <v>645</v>
      </c>
      <c r="E2" s="530"/>
      <c r="F2" s="530" t="s">
        <v>644</v>
      </c>
      <c r="G2" s="530"/>
      <c r="H2" s="530" t="s">
        <v>612</v>
      </c>
      <c r="I2" s="530"/>
      <c r="J2" s="530"/>
      <c r="K2" s="530" t="s">
        <v>772</v>
      </c>
      <c r="L2" s="530"/>
      <c r="M2" s="2" t="s">
        <v>774</v>
      </c>
      <c r="N2" s="530"/>
      <c r="O2" s="530" t="s">
        <v>775</v>
      </c>
      <c r="AC2" s="528"/>
    </row>
    <row r="3" spans="1:29" ht="16" x14ac:dyDescent="0.2">
      <c r="A3" s="528" t="s">
        <v>18</v>
      </c>
      <c r="D3" s="530" t="s">
        <v>771</v>
      </c>
      <c r="E3" s="530"/>
      <c r="F3" s="530"/>
      <c r="G3" s="530"/>
      <c r="H3" s="530" t="s">
        <v>646</v>
      </c>
      <c r="I3" s="530"/>
      <c r="J3" s="530" t="s">
        <v>611</v>
      </c>
      <c r="K3" s="530"/>
      <c r="L3" s="530"/>
      <c r="M3" s="530" t="s">
        <v>773</v>
      </c>
      <c r="O3" s="530" t="s">
        <v>783</v>
      </c>
      <c r="AC3" s="528"/>
    </row>
    <row r="4" spans="1:29" ht="16" x14ac:dyDescent="0.2">
      <c r="A4" s="528"/>
      <c r="D4" s="530"/>
      <c r="E4" s="530"/>
      <c r="F4" s="530"/>
      <c r="G4" s="530"/>
      <c r="H4" s="530"/>
      <c r="I4" s="530"/>
      <c r="J4" s="530"/>
      <c r="K4" s="530"/>
      <c r="L4" s="530"/>
      <c r="M4" s="530"/>
      <c r="O4" s="530"/>
      <c r="AC4" s="528"/>
    </row>
    <row r="5" spans="1:29" ht="16" x14ac:dyDescent="0.2">
      <c r="A5" s="528"/>
      <c r="D5" s="997"/>
      <c r="E5" s="997" t="s">
        <v>1018</v>
      </c>
      <c r="F5" s="997"/>
      <c r="G5" s="530"/>
      <c r="H5" s="530"/>
      <c r="I5" s="530"/>
      <c r="J5" s="530"/>
      <c r="K5" s="530"/>
      <c r="L5" s="530"/>
      <c r="M5" s="530"/>
      <c r="O5" s="530"/>
      <c r="R5" s="15"/>
      <c r="S5" s="530"/>
      <c r="T5" s="530"/>
      <c r="U5" s="530"/>
      <c r="V5" s="530"/>
      <c r="AC5" s="528"/>
    </row>
    <row r="6" spans="1:29" ht="16" x14ac:dyDescent="0.2">
      <c r="A6" s="528"/>
      <c r="D6" s="998" t="s">
        <v>1015</v>
      </c>
      <c r="E6" s="997" t="s">
        <v>1016</v>
      </c>
      <c r="F6" s="997" t="s">
        <v>1017</v>
      </c>
      <c r="G6" s="530" t="s">
        <v>18</v>
      </c>
      <c r="H6" s="530"/>
      <c r="I6" s="530"/>
      <c r="J6" s="530"/>
      <c r="K6" s="530"/>
      <c r="L6" s="530"/>
      <c r="M6" s="530"/>
      <c r="O6" s="530"/>
      <c r="R6" s="15"/>
      <c r="S6" s="530"/>
      <c r="T6" s="530"/>
      <c r="U6" s="530"/>
      <c r="V6" s="530"/>
      <c r="AC6" s="528"/>
    </row>
    <row r="7" spans="1:29" ht="16" x14ac:dyDescent="0.2">
      <c r="A7" s="528"/>
      <c r="C7" s="782"/>
      <c r="D7" s="1018"/>
      <c r="E7" s="999"/>
      <c r="F7" s="1000"/>
      <c r="G7" s="782"/>
      <c r="H7" s="782"/>
      <c r="AC7" s="528"/>
    </row>
    <row r="8" spans="1:29" ht="16" x14ac:dyDescent="0.2">
      <c r="A8" s="528"/>
      <c r="D8" s="239"/>
      <c r="E8" s="782"/>
      <c r="F8" s="757"/>
      <c r="G8" s="782"/>
      <c r="H8" s="782"/>
      <c r="AC8" s="528"/>
    </row>
    <row r="9" spans="1:29" x14ac:dyDescent="0.15">
      <c r="C9" s="1" t="s">
        <v>776</v>
      </c>
      <c r="G9" s="1" t="s">
        <v>732</v>
      </c>
    </row>
    <row r="10" spans="1:29" x14ac:dyDescent="0.15">
      <c r="A10" s="1" t="s">
        <v>739</v>
      </c>
      <c r="B10" s="1" t="s">
        <v>740</v>
      </c>
      <c r="C10" s="305" t="s">
        <v>410</v>
      </c>
      <c r="D10" s="305" t="s">
        <v>409</v>
      </c>
      <c r="E10" s="305" t="s">
        <v>408</v>
      </c>
      <c r="F10" s="530" t="s">
        <v>18</v>
      </c>
      <c r="G10" s="305" t="s">
        <v>405</v>
      </c>
      <c r="H10" s="305" t="s">
        <v>400</v>
      </c>
      <c r="I10" s="305" t="s">
        <v>404</v>
      </c>
      <c r="J10" s="1" t="s">
        <v>417</v>
      </c>
    </row>
    <row r="11" spans="1:29" x14ac:dyDescent="0.15">
      <c r="A11" s="1" t="s">
        <v>737</v>
      </c>
    </row>
    <row r="12" spans="1:29" x14ac:dyDescent="0.15">
      <c r="A12" s="2" t="s">
        <v>789</v>
      </c>
      <c r="B12" s="782"/>
      <c r="C12" s="1001">
        <v>0.75700000000000001</v>
      </c>
      <c r="D12" s="1001">
        <v>0.35980000000000001</v>
      </c>
      <c r="E12" s="1001">
        <v>0.63170000000000004</v>
      </c>
      <c r="F12" s="1001"/>
      <c r="G12" s="1001">
        <v>0.78210000000000002</v>
      </c>
      <c r="H12" s="1001">
        <v>0.56079999999999997</v>
      </c>
      <c r="I12" s="1001">
        <v>0.68879999999999997</v>
      </c>
      <c r="P12" s="2" t="s">
        <v>18</v>
      </c>
    </row>
    <row r="13" spans="1:29" x14ac:dyDescent="0.15">
      <c r="A13" s="2" t="s">
        <v>734</v>
      </c>
      <c r="B13" s="782"/>
      <c r="C13" s="1001">
        <v>0.1845</v>
      </c>
      <c r="D13" s="1001">
        <v>0.21590000000000001</v>
      </c>
      <c r="E13" s="1001">
        <v>0.18790000000000001</v>
      </c>
      <c r="F13" s="1001"/>
      <c r="G13" s="1001">
        <v>0.1157</v>
      </c>
      <c r="H13" s="1001">
        <v>0.2266</v>
      </c>
      <c r="I13" s="1001">
        <v>0.223</v>
      </c>
    </row>
    <row r="14" spans="1:29" x14ac:dyDescent="0.15">
      <c r="A14" s="2" t="s">
        <v>735</v>
      </c>
      <c r="B14" s="782"/>
      <c r="C14" s="1001">
        <v>0</v>
      </c>
      <c r="D14" s="1001">
        <v>3.5400000000000001E-2</v>
      </c>
      <c r="E14" s="1001">
        <v>0</v>
      </c>
      <c r="F14" s="1001"/>
      <c r="G14" s="1001">
        <v>1.7999999999999999E-2</v>
      </c>
      <c r="H14" s="1001">
        <v>0</v>
      </c>
      <c r="I14" s="1001">
        <v>0</v>
      </c>
      <c r="J14" s="859" t="s">
        <v>18</v>
      </c>
      <c r="L14" s="2" t="s">
        <v>18</v>
      </c>
    </row>
    <row r="15" spans="1:29" x14ac:dyDescent="0.15">
      <c r="A15" s="2" t="s">
        <v>801</v>
      </c>
      <c r="B15" s="782"/>
      <c r="C15" s="1001">
        <f>+C13+C14</f>
        <v>0.1845</v>
      </c>
      <c r="D15" s="1001">
        <f>+D13+D14</f>
        <v>0.25130000000000002</v>
      </c>
      <c r="E15" s="1001">
        <f>+E13+E14</f>
        <v>0.18790000000000001</v>
      </c>
      <c r="F15" s="1001"/>
      <c r="G15" s="1001">
        <f>+G13+G14</f>
        <v>0.13369999999999999</v>
      </c>
      <c r="H15" s="1001">
        <f>+H13+H14</f>
        <v>0.2266</v>
      </c>
      <c r="I15" s="1001">
        <f>+I13+I14</f>
        <v>0.223</v>
      </c>
    </row>
    <row r="16" spans="1:29" x14ac:dyDescent="0.15">
      <c r="A16" s="2" t="s">
        <v>733</v>
      </c>
      <c r="B16" s="782"/>
      <c r="C16" s="1001">
        <v>1.5100000000000001E-2</v>
      </c>
      <c r="D16" s="1001">
        <v>0.18609999999999999</v>
      </c>
      <c r="E16" s="1001">
        <v>2.5000000000000001E-3</v>
      </c>
      <c r="F16" s="1001"/>
      <c r="G16" s="1001">
        <v>5.4000000000000003E-3</v>
      </c>
      <c r="H16" s="1001">
        <v>0</v>
      </c>
      <c r="I16" s="1001">
        <v>6.1999999999999998E-3</v>
      </c>
    </row>
    <row r="17" spans="1:12" x14ac:dyDescent="0.15">
      <c r="A17" s="2" t="s">
        <v>741</v>
      </c>
      <c r="B17" s="782"/>
      <c r="C17" s="1001">
        <v>2.5100000000000001E-2</v>
      </c>
      <c r="D17" s="1001">
        <v>0.01</v>
      </c>
      <c r="E17" s="1001">
        <v>1.5800000000000002E-2</v>
      </c>
      <c r="F17" s="1001"/>
      <c r="G17" s="1001">
        <v>6.1600000000000002E-2</v>
      </c>
      <c r="H17" s="1001">
        <v>4.7800000000000002E-2</v>
      </c>
      <c r="I17" s="1001">
        <v>3.5999999999999997E-2</v>
      </c>
    </row>
    <row r="18" spans="1:12" x14ac:dyDescent="0.15">
      <c r="A18" s="2" t="s">
        <v>736</v>
      </c>
      <c r="B18" s="782"/>
      <c r="C18" s="1001">
        <v>3.8199999999999998E-2</v>
      </c>
      <c r="D18" s="1001">
        <v>4.3400000000000001E-2</v>
      </c>
      <c r="E18" s="1001">
        <v>0.24909999999999999</v>
      </c>
      <c r="F18" s="1001"/>
      <c r="G18" s="1001">
        <v>8.1900000000000001E-2</v>
      </c>
      <c r="H18" s="1001">
        <v>8.7599999999999997E-2</v>
      </c>
      <c r="I18" s="1001">
        <v>0.22670000000000001</v>
      </c>
    </row>
    <row r="19" spans="1:12" x14ac:dyDescent="0.15">
      <c r="A19" s="859" t="s">
        <v>1013</v>
      </c>
      <c r="C19" s="1028">
        <f>+C15+C16</f>
        <v>0.1996</v>
      </c>
      <c r="D19" s="1028">
        <f>+D15+D16</f>
        <v>0.43740000000000001</v>
      </c>
      <c r="E19" s="1028">
        <f>+E15+E16</f>
        <v>0.19040000000000001</v>
      </c>
      <c r="F19" s="1028" t="s">
        <v>18</v>
      </c>
      <c r="G19" s="1028">
        <f>+G15+G16</f>
        <v>0.13909999999999997</v>
      </c>
      <c r="H19" s="1028">
        <f>+H15+H16</f>
        <v>0.2266</v>
      </c>
      <c r="I19" s="1028">
        <f>+I15+I16</f>
        <v>0.22920000000000001</v>
      </c>
    </row>
    <row r="20" spans="1:12" x14ac:dyDescent="0.15">
      <c r="A20" s="859" t="s">
        <v>1014</v>
      </c>
      <c r="C20" s="1028">
        <f>+C17+C19</f>
        <v>0.22470000000000001</v>
      </c>
      <c r="D20" s="1028">
        <f t="shared" ref="D20:I20" si="0">+D17+D19</f>
        <v>0.44740000000000002</v>
      </c>
      <c r="E20" s="1028">
        <f t="shared" si="0"/>
        <v>0.20620000000000002</v>
      </c>
      <c r="F20" s="1028" t="s">
        <v>18</v>
      </c>
      <c r="G20" s="1028">
        <f t="shared" si="0"/>
        <v>0.20069999999999999</v>
      </c>
      <c r="H20" s="1028">
        <f t="shared" si="0"/>
        <v>0.27439999999999998</v>
      </c>
      <c r="I20" s="1028">
        <f t="shared" si="0"/>
        <v>0.26519999999999999</v>
      </c>
    </row>
    <row r="21" spans="1:12" x14ac:dyDescent="0.15">
      <c r="A21" s="859"/>
      <c r="D21" s="2"/>
      <c r="F21" t="s">
        <v>18</v>
      </c>
    </row>
    <row r="22" spans="1:12" x14ac:dyDescent="0.15">
      <c r="A22" s="1" t="s">
        <v>738</v>
      </c>
    </row>
    <row r="23" spans="1:12" x14ac:dyDescent="0.15">
      <c r="A23" s="2" t="s">
        <v>790</v>
      </c>
      <c r="B23" s="782"/>
      <c r="C23" s="1027">
        <v>41000</v>
      </c>
      <c r="D23" s="1027">
        <v>47000</v>
      </c>
      <c r="E23" s="1027">
        <v>15600</v>
      </c>
      <c r="F23" s="1005"/>
      <c r="G23" s="1027">
        <v>20000</v>
      </c>
      <c r="H23" s="1027">
        <v>15500</v>
      </c>
      <c r="I23" s="1027">
        <v>9700</v>
      </c>
    </row>
    <row r="24" spans="1:12" x14ac:dyDescent="0.15">
      <c r="A24" s="2" t="s">
        <v>828</v>
      </c>
      <c r="B24" s="782"/>
      <c r="C24" s="871">
        <v>0.85389999999999999</v>
      </c>
      <c r="D24" s="871">
        <v>0.77349999999999997</v>
      </c>
      <c r="E24" s="871">
        <v>0.84389999999999998</v>
      </c>
      <c r="F24" s="871"/>
      <c r="G24" s="871">
        <v>0.9073</v>
      </c>
      <c r="H24" s="871">
        <v>0.90339999999999998</v>
      </c>
      <c r="I24" s="871">
        <v>0.8276</v>
      </c>
    </row>
    <row r="25" spans="1:12" x14ac:dyDescent="0.15">
      <c r="A25" s="2" t="s">
        <v>791</v>
      </c>
      <c r="B25" s="782"/>
      <c r="C25" s="1002">
        <v>1.2</v>
      </c>
      <c r="D25" s="865">
        <v>1.17</v>
      </c>
      <c r="E25" s="865">
        <v>1.17</v>
      </c>
      <c r="F25" s="865"/>
      <c r="G25" s="865">
        <v>1.18</v>
      </c>
      <c r="H25" s="865">
        <v>1.23</v>
      </c>
      <c r="I25" s="1002">
        <v>1.2</v>
      </c>
      <c r="L25" t="s">
        <v>18</v>
      </c>
    </row>
    <row r="26" spans="1:12" x14ac:dyDescent="0.15">
      <c r="A26" s="2" t="s">
        <v>829</v>
      </c>
      <c r="B26" s="782"/>
      <c r="C26" s="871">
        <v>8.8099999999999998E-2</v>
      </c>
      <c r="D26" s="871">
        <v>0.1201</v>
      </c>
      <c r="E26" s="871">
        <v>0.1002</v>
      </c>
      <c r="F26" s="871"/>
      <c r="G26" s="871">
        <v>7.1300000000000002E-2</v>
      </c>
      <c r="H26" s="871">
        <v>4.6800000000000001E-2</v>
      </c>
      <c r="I26" s="871">
        <v>4.1300000000000003E-2</v>
      </c>
    </row>
    <row r="27" spans="1:12" x14ac:dyDescent="0.15">
      <c r="A27" s="2" t="s">
        <v>830</v>
      </c>
      <c r="B27" s="826"/>
      <c r="C27" s="1026">
        <v>9.7000000000000003E-3</v>
      </c>
      <c r="D27" s="1026">
        <v>1.55E-2</v>
      </c>
      <c r="E27" s="1026">
        <v>1.11E-2</v>
      </c>
      <c r="F27" s="1026"/>
      <c r="G27" s="1026">
        <v>9.4999999999999998E-3</v>
      </c>
      <c r="H27" s="1026">
        <v>2.8999999999999998E-3</v>
      </c>
      <c r="I27" s="1026">
        <v>1.0699999999999999E-2</v>
      </c>
    </row>
    <row r="28" spans="1:12" x14ac:dyDescent="0.15">
      <c r="A28" s="2" t="s">
        <v>831</v>
      </c>
      <c r="B28" s="782"/>
      <c r="C28" s="871">
        <v>1.2500000000000001E-2</v>
      </c>
      <c r="D28" s="871">
        <v>1.0500000000000001E-2</v>
      </c>
      <c r="E28" s="871">
        <v>3.0999999999999999E-3</v>
      </c>
      <c r="F28" s="871"/>
      <c r="G28" s="871">
        <v>1.8E-3</v>
      </c>
      <c r="H28" s="871">
        <v>5.5999999999999999E-3</v>
      </c>
      <c r="I28" s="871">
        <v>8.3000000000000001E-3</v>
      </c>
    </row>
    <row r="29" spans="1:12" x14ac:dyDescent="0.15">
      <c r="A29" s="2" t="s">
        <v>832</v>
      </c>
      <c r="B29" s="782"/>
      <c r="C29" s="871">
        <v>0.02</v>
      </c>
      <c r="D29" s="871">
        <v>2.2700000000000001E-2</v>
      </c>
      <c r="E29" s="871">
        <v>2.3400000000000001E-2</v>
      </c>
      <c r="F29" s="871"/>
      <c r="G29" s="871">
        <v>4.5999999999999999E-3</v>
      </c>
      <c r="H29" s="871">
        <v>1.7299999999999999E-2</v>
      </c>
      <c r="I29" s="871">
        <v>1.32E-2</v>
      </c>
    </row>
    <row r="30" spans="1:12" x14ac:dyDescent="0.15">
      <c r="A30" s="2" t="s">
        <v>833</v>
      </c>
      <c r="B30" s="782"/>
      <c r="C30" s="871">
        <v>1.5800000000000002E-2</v>
      </c>
      <c r="D30" s="871">
        <v>3.3700000000000001E-2</v>
      </c>
      <c r="E30" s="871">
        <v>4.8999999999999998E-3</v>
      </c>
      <c r="F30" s="871"/>
      <c r="G30" s="871">
        <v>2.0999999999999999E-3</v>
      </c>
      <c r="H30" s="871">
        <v>1.6000000000000001E-3</v>
      </c>
      <c r="I30" s="871">
        <v>3.3E-3</v>
      </c>
      <c r="J30" s="859" t="s">
        <v>18</v>
      </c>
    </row>
    <row r="31" spans="1:12" x14ac:dyDescent="0.15">
      <c r="A31" s="2" t="s">
        <v>834</v>
      </c>
      <c r="B31" s="782"/>
      <c r="C31" s="871">
        <v>0</v>
      </c>
      <c r="D31" s="871">
        <v>2.3599999999999999E-2</v>
      </c>
      <c r="E31" s="871">
        <v>1.35E-2</v>
      </c>
      <c r="F31" s="871"/>
      <c r="G31" s="871">
        <v>3.5000000000000001E-3</v>
      </c>
      <c r="H31" s="871">
        <v>2.0899999999999998E-2</v>
      </c>
      <c r="I31" s="871">
        <v>9.5699999999999993E-2</v>
      </c>
    </row>
    <row r="32" spans="1:12" x14ac:dyDescent="0.15">
      <c r="A32" s="2" t="s">
        <v>835</v>
      </c>
      <c r="B32" s="782"/>
      <c r="C32" s="871">
        <v>0</v>
      </c>
      <c r="D32" s="871">
        <v>2.41E-2</v>
      </c>
      <c r="E32" s="871">
        <v>1.35E-2</v>
      </c>
      <c r="F32" s="871"/>
      <c r="G32" s="871">
        <v>3.5000000000000001E-3</v>
      </c>
      <c r="H32" s="871">
        <v>2.2200000000000001E-2</v>
      </c>
      <c r="I32" s="871">
        <v>9.5699999999999993E-2</v>
      </c>
    </row>
    <row r="33" spans="1:12" x14ac:dyDescent="0.15">
      <c r="A33" s="859" t="s">
        <v>960</v>
      </c>
      <c r="B33" s="798"/>
      <c r="C33" s="1016">
        <v>1540</v>
      </c>
      <c r="D33" s="1016">
        <v>4839</v>
      </c>
      <c r="E33" s="1016">
        <v>298</v>
      </c>
      <c r="F33" s="1017"/>
      <c r="G33" s="1016">
        <v>146</v>
      </c>
      <c r="H33" s="1016">
        <v>413</v>
      </c>
      <c r="I33" s="1016">
        <v>184</v>
      </c>
      <c r="J33" s="859" t="s">
        <v>18</v>
      </c>
    </row>
    <row r="34" spans="1:12" x14ac:dyDescent="0.15">
      <c r="A34" s="859" t="s">
        <v>961</v>
      </c>
      <c r="B34" s="798"/>
      <c r="C34" s="1016">
        <v>953</v>
      </c>
      <c r="D34" s="1016">
        <v>3011</v>
      </c>
      <c r="E34" s="1016">
        <v>186</v>
      </c>
      <c r="F34" s="1017"/>
      <c r="G34" s="1016">
        <v>91</v>
      </c>
      <c r="H34" s="1016">
        <v>256</v>
      </c>
      <c r="I34" s="1016">
        <v>116</v>
      </c>
      <c r="J34" s="859" t="s">
        <v>18</v>
      </c>
    </row>
    <row r="35" spans="1:12" x14ac:dyDescent="0.15">
      <c r="A35" s="859" t="s">
        <v>968</v>
      </c>
      <c r="B35" s="798"/>
      <c r="C35" s="1003">
        <v>0</v>
      </c>
      <c r="D35" s="1003">
        <v>485</v>
      </c>
      <c r="E35" s="1003">
        <v>0</v>
      </c>
      <c r="F35" s="1004"/>
      <c r="G35" s="1003">
        <v>0</v>
      </c>
      <c r="H35" s="1003">
        <v>0</v>
      </c>
      <c r="I35" s="1003">
        <v>0</v>
      </c>
      <c r="J35" s="859"/>
    </row>
    <row r="36" spans="1:12" x14ac:dyDescent="0.15">
      <c r="A36" s="859" t="s">
        <v>969</v>
      </c>
      <c r="B36" s="798"/>
      <c r="C36" s="1003">
        <v>485</v>
      </c>
      <c r="D36" s="1003">
        <v>0</v>
      </c>
      <c r="E36" s="1003">
        <v>352</v>
      </c>
      <c r="F36" s="1004"/>
      <c r="G36" s="1003">
        <v>29</v>
      </c>
      <c r="H36" s="1003">
        <v>145</v>
      </c>
      <c r="I36" s="1003">
        <v>74</v>
      </c>
      <c r="J36" s="859"/>
    </row>
    <row r="37" spans="1:12" x14ac:dyDescent="0.15">
      <c r="A37" s="859" t="s">
        <v>967</v>
      </c>
      <c r="B37" s="782"/>
      <c r="C37" s="1003">
        <v>0</v>
      </c>
      <c r="D37" s="1003">
        <v>0</v>
      </c>
      <c r="E37" s="1003">
        <v>116</v>
      </c>
      <c r="F37" s="999"/>
      <c r="G37" s="1003">
        <v>0</v>
      </c>
      <c r="H37" s="1003">
        <v>111</v>
      </c>
      <c r="I37" s="1003">
        <v>0</v>
      </c>
      <c r="J37" s="859" t="s">
        <v>1010</v>
      </c>
    </row>
    <row r="38" spans="1:12" x14ac:dyDescent="0.15">
      <c r="A38" s="859" t="s">
        <v>966</v>
      </c>
      <c r="B38" s="782"/>
      <c r="C38" s="1003">
        <v>1009</v>
      </c>
      <c r="D38" s="1003">
        <v>1002</v>
      </c>
      <c r="E38" s="1003">
        <v>484</v>
      </c>
      <c r="F38" s="999"/>
      <c r="G38" s="1003">
        <v>264</v>
      </c>
      <c r="H38" s="1003">
        <v>289</v>
      </c>
      <c r="I38" s="1003">
        <v>455</v>
      </c>
      <c r="J38" s="859" t="s">
        <v>1010</v>
      </c>
    </row>
    <row r="39" spans="1:12" x14ac:dyDescent="0.15">
      <c r="A39" s="859" t="s">
        <v>1009</v>
      </c>
      <c r="B39" s="782"/>
      <c r="C39" s="1003">
        <v>0</v>
      </c>
      <c r="D39" s="1005">
        <v>98</v>
      </c>
      <c r="E39" s="1003">
        <v>131</v>
      </c>
      <c r="F39" s="999"/>
      <c r="G39" s="1003">
        <v>70</v>
      </c>
      <c r="H39" s="1003">
        <v>86</v>
      </c>
      <c r="I39" s="1005">
        <v>60</v>
      </c>
      <c r="J39" s="859" t="s">
        <v>1011</v>
      </c>
    </row>
    <row r="40" spans="1:12" x14ac:dyDescent="0.15">
      <c r="A40" s="859" t="s">
        <v>1008</v>
      </c>
      <c r="B40" s="782"/>
      <c r="C40" s="1006">
        <v>10.6</v>
      </c>
      <c r="D40" s="1005">
        <v>7.1</v>
      </c>
      <c r="E40" s="1007">
        <v>11.6</v>
      </c>
      <c r="F40" s="1008"/>
      <c r="G40" s="1009">
        <v>11.4</v>
      </c>
      <c r="H40" s="1009">
        <v>5.8</v>
      </c>
      <c r="I40" s="1009">
        <v>9.6999999999999993</v>
      </c>
      <c r="J40" s="859"/>
    </row>
    <row r="41" spans="1:12" x14ac:dyDescent="0.15">
      <c r="A41" s="859" t="s">
        <v>1007</v>
      </c>
      <c r="B41" s="782"/>
      <c r="C41" s="1006">
        <v>6.6</v>
      </c>
      <c r="D41" s="1005">
        <v>4.4000000000000004</v>
      </c>
      <c r="E41" s="1007">
        <v>7.2</v>
      </c>
      <c r="F41" s="1008"/>
      <c r="G41" s="1009">
        <v>7.1</v>
      </c>
      <c r="H41" s="1009">
        <v>3.6</v>
      </c>
      <c r="I41" s="1009">
        <v>6.1</v>
      </c>
      <c r="J41" s="995" t="s">
        <v>18</v>
      </c>
    </row>
    <row r="42" spans="1:12" x14ac:dyDescent="0.15">
      <c r="B42" s="782"/>
    </row>
    <row r="43" spans="1:12" x14ac:dyDescent="0.15">
      <c r="A43" s="1" t="s">
        <v>742</v>
      </c>
      <c r="B43" s="782"/>
      <c r="C43" s="782"/>
      <c r="D43" s="782"/>
      <c r="E43" s="782"/>
      <c r="F43" s="782"/>
      <c r="G43" s="782"/>
      <c r="H43" s="782"/>
      <c r="I43" s="782"/>
    </row>
    <row r="44" spans="1:12" x14ac:dyDescent="0.15">
      <c r="A44" s="2" t="s">
        <v>824</v>
      </c>
      <c r="B44" s="782"/>
      <c r="C44" s="1024">
        <v>30</v>
      </c>
      <c r="D44" s="1024">
        <v>35</v>
      </c>
      <c r="E44" s="1024">
        <v>35</v>
      </c>
      <c r="F44" s="1024"/>
      <c r="G44" s="1025" t="s">
        <v>825</v>
      </c>
      <c r="H44" s="1024">
        <v>25</v>
      </c>
      <c r="I44" s="1024">
        <v>25</v>
      </c>
    </row>
    <row r="45" spans="1:12" x14ac:dyDescent="0.15">
      <c r="A45" s="2" t="s">
        <v>818</v>
      </c>
      <c r="B45" s="782"/>
      <c r="C45" s="1019">
        <v>36</v>
      </c>
      <c r="D45" s="1019">
        <v>37</v>
      </c>
      <c r="E45" s="1019">
        <v>37</v>
      </c>
      <c r="F45" s="1019"/>
      <c r="G45" s="1019">
        <v>33</v>
      </c>
      <c r="H45" s="1019">
        <v>28</v>
      </c>
      <c r="I45" s="1019">
        <v>21</v>
      </c>
      <c r="K45" s="2" t="s">
        <v>18</v>
      </c>
      <c r="L45" s="2" t="s">
        <v>18</v>
      </c>
    </row>
    <row r="46" spans="1:12" x14ac:dyDescent="0.15">
      <c r="A46" s="2" t="s">
        <v>819</v>
      </c>
      <c r="B46" s="782"/>
      <c r="C46" s="1019">
        <v>33</v>
      </c>
      <c r="D46" s="1019">
        <v>35</v>
      </c>
      <c r="E46" s="1019">
        <v>38</v>
      </c>
      <c r="F46" s="1019"/>
      <c r="G46" s="1019">
        <v>32</v>
      </c>
      <c r="H46" s="1019">
        <v>26</v>
      </c>
      <c r="I46" s="1019">
        <v>22</v>
      </c>
      <c r="K46" s="2" t="s">
        <v>18</v>
      </c>
    </row>
    <row r="47" spans="1:12" x14ac:dyDescent="0.15">
      <c r="A47" s="2" t="s">
        <v>826</v>
      </c>
      <c r="B47" s="782"/>
      <c r="C47" s="1019">
        <f>+C46-C45</f>
        <v>-3</v>
      </c>
      <c r="D47" s="1019">
        <f>+D46-D45</f>
        <v>-2</v>
      </c>
      <c r="E47" s="1019">
        <f>+E46-E45</f>
        <v>1</v>
      </c>
      <c r="F47" s="1019"/>
      <c r="G47" s="1019">
        <f>+G46-G45</f>
        <v>-1</v>
      </c>
      <c r="H47" s="1019">
        <f>+H46-H45</f>
        <v>-2</v>
      </c>
      <c r="I47" s="1019">
        <f>+I46-I45</f>
        <v>1</v>
      </c>
      <c r="J47" s="2" t="s">
        <v>18</v>
      </c>
      <c r="K47" s="2" t="s">
        <v>18</v>
      </c>
      <c r="L47" s="2" t="s">
        <v>18</v>
      </c>
    </row>
    <row r="48" spans="1:12" x14ac:dyDescent="0.15">
      <c r="A48" s="2" t="s">
        <v>827</v>
      </c>
      <c r="B48" s="782"/>
      <c r="C48" s="1019">
        <f>+C46-C44</f>
        <v>3</v>
      </c>
      <c r="D48" s="1019">
        <f>+D46-D44</f>
        <v>0</v>
      </c>
      <c r="E48" s="1019">
        <f>+E46-E44</f>
        <v>3</v>
      </c>
      <c r="F48" s="1019"/>
      <c r="G48" s="1019">
        <f>+G46-30</f>
        <v>2</v>
      </c>
      <c r="H48" s="1019">
        <f>+H46-H44</f>
        <v>1</v>
      </c>
      <c r="I48" s="1019">
        <f>+I46-I44</f>
        <v>-3</v>
      </c>
      <c r="J48" s="2"/>
      <c r="K48" s="2"/>
      <c r="L48" s="2"/>
    </row>
    <row r="49" spans="1:15" x14ac:dyDescent="0.15">
      <c r="A49" s="2" t="s">
        <v>820</v>
      </c>
      <c r="B49" s="782"/>
      <c r="C49" s="1019">
        <v>31</v>
      </c>
      <c r="D49" s="1019">
        <v>32</v>
      </c>
      <c r="E49" s="1019">
        <v>32</v>
      </c>
      <c r="F49" s="1019"/>
      <c r="G49" s="1019">
        <v>30</v>
      </c>
      <c r="H49" s="1019">
        <v>25</v>
      </c>
      <c r="I49" s="1019">
        <v>18</v>
      </c>
      <c r="J49" s="2" t="s">
        <v>18</v>
      </c>
      <c r="L49" s="2" t="s">
        <v>18</v>
      </c>
    </row>
    <row r="50" spans="1:15" x14ac:dyDescent="0.15">
      <c r="A50" s="2" t="s">
        <v>821</v>
      </c>
      <c r="B50" s="782"/>
      <c r="C50" s="1019">
        <v>29</v>
      </c>
      <c r="D50" s="1019">
        <v>30</v>
      </c>
      <c r="E50" s="1019">
        <v>33.5</v>
      </c>
      <c r="F50" s="1019"/>
      <c r="G50" s="1019">
        <v>27</v>
      </c>
      <c r="H50" s="1019">
        <v>21</v>
      </c>
      <c r="I50" s="1019">
        <v>18</v>
      </c>
      <c r="K50" s="2" t="s">
        <v>18</v>
      </c>
    </row>
    <row r="51" spans="1:15" x14ac:dyDescent="0.15">
      <c r="A51" s="2" t="s">
        <v>826</v>
      </c>
      <c r="B51" s="782"/>
      <c r="C51" s="1019">
        <f>+C50-C49</f>
        <v>-2</v>
      </c>
      <c r="D51" s="1019">
        <f>+D50-D49</f>
        <v>-2</v>
      </c>
      <c r="E51" s="1019">
        <f>+E50-E49</f>
        <v>1.5</v>
      </c>
      <c r="F51" s="1019"/>
      <c r="G51" s="1019">
        <f>+G50-G49</f>
        <v>-3</v>
      </c>
      <c r="H51" s="1019">
        <f>+H50-H49</f>
        <v>-4</v>
      </c>
      <c r="I51" s="1019">
        <f>+I50-I49</f>
        <v>0</v>
      </c>
      <c r="K51" s="2" t="s">
        <v>18</v>
      </c>
    </row>
    <row r="52" spans="1:15" x14ac:dyDescent="0.15">
      <c r="A52" s="2" t="s">
        <v>827</v>
      </c>
      <c r="B52" s="782"/>
      <c r="C52" s="1019">
        <f>+C50-C44</f>
        <v>-1</v>
      </c>
      <c r="D52" s="1019">
        <f>+D50-D44</f>
        <v>-5</v>
      </c>
      <c r="E52" s="1019">
        <f>+E50-E44</f>
        <v>-1.5</v>
      </c>
      <c r="F52" s="1019"/>
      <c r="G52" s="1019">
        <f>+G49-25</f>
        <v>5</v>
      </c>
      <c r="H52" s="1019">
        <f>+H50-H44</f>
        <v>-4</v>
      </c>
      <c r="I52" s="1019">
        <f>+I50-I44</f>
        <v>-7</v>
      </c>
      <c r="K52" s="2"/>
    </row>
    <row r="53" spans="1:15" x14ac:dyDescent="0.15">
      <c r="A53" s="2" t="s">
        <v>822</v>
      </c>
      <c r="B53" s="782"/>
      <c r="C53" s="1019">
        <v>26</v>
      </c>
      <c r="D53" s="1019">
        <v>27</v>
      </c>
      <c r="E53" s="1019">
        <v>30</v>
      </c>
      <c r="F53" s="1019"/>
      <c r="G53" s="1019">
        <v>22</v>
      </c>
      <c r="H53" s="1019">
        <v>18</v>
      </c>
      <c r="I53" s="1019">
        <v>16</v>
      </c>
      <c r="K53" s="2" t="s">
        <v>18</v>
      </c>
    </row>
    <row r="54" spans="1:15" x14ac:dyDescent="0.15">
      <c r="A54" s="2" t="s">
        <v>823</v>
      </c>
      <c r="B54" s="782"/>
      <c r="C54" s="1019">
        <v>20</v>
      </c>
      <c r="D54" s="1019">
        <v>24</v>
      </c>
      <c r="E54" s="1019">
        <v>27</v>
      </c>
      <c r="F54" s="1019"/>
      <c r="G54" s="1019">
        <v>21</v>
      </c>
      <c r="H54" s="1019">
        <v>20</v>
      </c>
      <c r="I54" s="1019">
        <v>20</v>
      </c>
    </row>
    <row r="55" spans="1:15" x14ac:dyDescent="0.15">
      <c r="A55" s="2" t="s">
        <v>826</v>
      </c>
      <c r="B55" s="782"/>
      <c r="C55" s="1019">
        <f>+C54-C53</f>
        <v>-6</v>
      </c>
      <c r="D55" s="1019">
        <f>+D54-D53</f>
        <v>-3</v>
      </c>
      <c r="E55" s="1019">
        <f>+E54-E53</f>
        <v>-3</v>
      </c>
      <c r="F55" s="1019"/>
      <c r="G55" s="1019">
        <f>+G54-G53</f>
        <v>-1</v>
      </c>
      <c r="H55" s="1019">
        <f>+H54-H53</f>
        <v>2</v>
      </c>
      <c r="I55" s="1019">
        <f>+I54-I53</f>
        <v>4</v>
      </c>
    </row>
    <row r="56" spans="1:15" x14ac:dyDescent="0.15">
      <c r="A56" s="859" t="s">
        <v>962</v>
      </c>
      <c r="B56" s="782"/>
      <c r="C56" s="1019">
        <v>6</v>
      </c>
      <c r="D56" s="1019">
        <v>4</v>
      </c>
      <c r="E56" s="1019">
        <v>4</v>
      </c>
      <c r="F56" s="1019"/>
      <c r="G56" s="1019">
        <v>4</v>
      </c>
      <c r="H56" s="1019">
        <v>2</v>
      </c>
      <c r="I56" s="1019">
        <v>4</v>
      </c>
    </row>
    <row r="57" spans="1:15" x14ac:dyDescent="0.15">
      <c r="B57" s="782"/>
    </row>
    <row r="58" spans="1:15" x14ac:dyDescent="0.15">
      <c r="A58" s="1" t="s">
        <v>745</v>
      </c>
      <c r="B58" s="782"/>
    </row>
    <row r="59" spans="1:15" x14ac:dyDescent="0.15">
      <c r="A59" s="2" t="s">
        <v>792</v>
      </c>
      <c r="B59" s="782"/>
      <c r="C59" s="1001">
        <v>0.27539999999999998</v>
      </c>
      <c r="D59" s="1001">
        <v>0.38440000000000002</v>
      </c>
      <c r="E59" s="1001">
        <v>0.27629999999999999</v>
      </c>
      <c r="F59" s="1001"/>
      <c r="G59" s="1001">
        <v>0.29110000000000003</v>
      </c>
      <c r="H59" s="1001">
        <v>0.14430000000000001</v>
      </c>
      <c r="I59" s="1001">
        <v>0.13420000000000001</v>
      </c>
      <c r="N59" t="s">
        <v>18</v>
      </c>
    </row>
    <row r="60" spans="1:15" x14ac:dyDescent="0.15">
      <c r="A60" s="2" t="s">
        <v>743</v>
      </c>
      <c r="B60" s="782"/>
      <c r="C60" s="1001">
        <v>0</v>
      </c>
      <c r="D60" s="1001">
        <v>0.15379999999999999</v>
      </c>
      <c r="E60" s="1001">
        <v>0</v>
      </c>
      <c r="F60" s="1023"/>
      <c r="G60" s="1001">
        <v>4.3200000000000002E-2</v>
      </c>
      <c r="H60" s="1001">
        <v>0</v>
      </c>
      <c r="I60" s="1001">
        <v>0</v>
      </c>
      <c r="O60" t="s">
        <v>18</v>
      </c>
    </row>
    <row r="61" spans="1:15" x14ac:dyDescent="0.15">
      <c r="A61" s="2" t="s">
        <v>744</v>
      </c>
      <c r="B61" s="782"/>
      <c r="C61" s="1001">
        <v>0.54210000000000003</v>
      </c>
      <c r="D61" s="1001">
        <v>0.29360000000000003</v>
      </c>
      <c r="E61" s="1001">
        <v>0.64319999999999999</v>
      </c>
      <c r="F61" s="1001"/>
      <c r="G61" s="1001">
        <v>0.73060000000000003</v>
      </c>
      <c r="H61" s="1001">
        <v>0.48299999999999998</v>
      </c>
      <c r="I61" s="1001">
        <v>0.67159999999999997</v>
      </c>
    </row>
    <row r="62" spans="1:15" x14ac:dyDescent="0.15">
      <c r="A62" s="859" t="s">
        <v>943</v>
      </c>
      <c r="B62" s="782"/>
      <c r="C62" s="1009">
        <v>920.2</v>
      </c>
      <c r="D62" s="1009">
        <v>624.1</v>
      </c>
      <c r="E62" s="1009">
        <v>1582.8</v>
      </c>
      <c r="F62" s="1009"/>
      <c r="G62" s="1009">
        <v>1490.3</v>
      </c>
      <c r="H62" s="1009">
        <v>1773.1</v>
      </c>
      <c r="I62" s="1009">
        <v>2603.3000000000002</v>
      </c>
      <c r="J62" s="859" t="s">
        <v>18</v>
      </c>
    </row>
    <row r="63" spans="1:15" x14ac:dyDescent="0.15">
      <c r="A63" s="859" t="s">
        <v>944</v>
      </c>
      <c r="B63" s="782"/>
      <c r="C63" s="1009">
        <v>571.79999999999995</v>
      </c>
      <c r="D63" s="1009">
        <v>387.8</v>
      </c>
      <c r="E63" s="1009">
        <v>983.5</v>
      </c>
      <c r="F63" s="1009"/>
      <c r="G63" s="1009">
        <v>926</v>
      </c>
      <c r="H63" s="1009">
        <v>1101.7</v>
      </c>
      <c r="I63" s="1009">
        <v>1617.6</v>
      </c>
      <c r="J63" s="859" t="s">
        <v>18</v>
      </c>
      <c r="M63" t="s">
        <v>18</v>
      </c>
    </row>
    <row r="64" spans="1:15" x14ac:dyDescent="0.15">
      <c r="A64" s="859" t="s">
        <v>945</v>
      </c>
      <c r="B64" s="782"/>
      <c r="C64" s="1009">
        <v>1601.5</v>
      </c>
      <c r="D64" s="1009">
        <v>1132</v>
      </c>
      <c r="E64" s="1009">
        <v>572.79999999999995</v>
      </c>
      <c r="F64" s="1009"/>
      <c r="G64" s="1009">
        <v>692.3</v>
      </c>
      <c r="H64" s="1009">
        <v>3015</v>
      </c>
      <c r="I64" s="1009">
        <v>2597.4</v>
      </c>
      <c r="J64" s="859"/>
    </row>
    <row r="65" spans="1:19" x14ac:dyDescent="0.15">
      <c r="A65" s="859" t="s">
        <v>946</v>
      </c>
      <c r="B65" s="782"/>
      <c r="C65" s="1009">
        <v>995.1</v>
      </c>
      <c r="D65" s="1009">
        <v>703.4</v>
      </c>
      <c r="E65" s="1009">
        <v>355.9</v>
      </c>
      <c r="F65" s="1009"/>
      <c r="G65" s="1009">
        <v>430.2</v>
      </c>
      <c r="H65" s="1009">
        <v>1873.4</v>
      </c>
      <c r="I65" s="1009">
        <v>1614</v>
      </c>
      <c r="J65" s="859"/>
      <c r="L65" t="s">
        <v>18</v>
      </c>
    </row>
    <row r="66" spans="1:19" x14ac:dyDescent="0.15">
      <c r="A66" s="859" t="s">
        <v>949</v>
      </c>
      <c r="B66" s="782"/>
      <c r="C66" s="1009">
        <f t="shared" ref="C66:E67" si="1">+C62+C64</f>
        <v>2521.6999999999998</v>
      </c>
      <c r="D66" s="1009">
        <f t="shared" si="1"/>
        <v>1756.1</v>
      </c>
      <c r="E66" s="1009">
        <f t="shared" si="1"/>
        <v>2155.6</v>
      </c>
      <c r="F66" s="1009"/>
      <c r="G66" s="1009">
        <f t="shared" ref="G66:I67" si="2">+G62+G64</f>
        <v>2182.6</v>
      </c>
      <c r="H66" s="1009">
        <f t="shared" si="2"/>
        <v>4788.1000000000004</v>
      </c>
      <c r="I66" s="1009">
        <f t="shared" si="2"/>
        <v>5200.7000000000007</v>
      </c>
      <c r="J66" s="859"/>
    </row>
    <row r="67" spans="1:19" x14ac:dyDescent="0.15">
      <c r="A67" s="859" t="s">
        <v>950</v>
      </c>
      <c r="B67" s="782"/>
      <c r="C67" s="1009">
        <f t="shared" si="1"/>
        <v>1566.9</v>
      </c>
      <c r="D67" s="1009">
        <f t="shared" si="1"/>
        <v>1091.2</v>
      </c>
      <c r="E67" s="1009">
        <f t="shared" si="1"/>
        <v>1339.4</v>
      </c>
      <c r="F67" s="1009"/>
      <c r="G67" s="1009">
        <f t="shared" si="2"/>
        <v>1356.2</v>
      </c>
      <c r="H67" s="1009">
        <f t="shared" si="2"/>
        <v>2975.1000000000004</v>
      </c>
      <c r="I67" s="1009">
        <f t="shared" si="2"/>
        <v>3231.6</v>
      </c>
      <c r="J67" s="859"/>
      <c r="M67" t="s">
        <v>18</v>
      </c>
    </row>
    <row r="68" spans="1:19" x14ac:dyDescent="0.15">
      <c r="A68" s="859" t="s">
        <v>947</v>
      </c>
      <c r="B68" s="782"/>
      <c r="C68" s="1009">
        <v>373.6</v>
      </c>
      <c r="D68" s="1009">
        <v>392.1</v>
      </c>
      <c r="E68" s="1009">
        <v>1127.2</v>
      </c>
      <c r="F68" s="1009"/>
      <c r="G68" s="1009">
        <v>109.4</v>
      </c>
      <c r="H68" s="1009">
        <v>620</v>
      </c>
      <c r="I68" s="1009">
        <v>636.29999999999995</v>
      </c>
      <c r="J68" s="859"/>
      <c r="K68" s="859" t="s">
        <v>18</v>
      </c>
    </row>
    <row r="69" spans="1:19" x14ac:dyDescent="0.15">
      <c r="A69" s="859" t="s">
        <v>948</v>
      </c>
      <c r="B69" s="782"/>
      <c r="C69" s="1009">
        <v>493.9</v>
      </c>
      <c r="D69" s="1009">
        <v>243.6</v>
      </c>
      <c r="E69" s="1009">
        <v>700.4</v>
      </c>
      <c r="F69" s="1009"/>
      <c r="G69" s="1009">
        <v>68</v>
      </c>
      <c r="H69" s="1009">
        <v>385.3</v>
      </c>
      <c r="I69" s="1009">
        <v>395.4</v>
      </c>
      <c r="J69" s="859" t="s">
        <v>18</v>
      </c>
    </row>
    <row r="70" spans="1:19" x14ac:dyDescent="0.15">
      <c r="A70" s="859"/>
      <c r="B70" s="782"/>
      <c r="C70" s="873"/>
      <c r="D70" s="873"/>
      <c r="E70" s="873"/>
      <c r="F70" s="873"/>
      <c r="G70" s="873"/>
      <c r="H70" s="873"/>
      <c r="I70" s="873"/>
    </row>
    <row r="71" spans="1:19" x14ac:dyDescent="0.15">
      <c r="A71" s="1" t="s">
        <v>1019</v>
      </c>
      <c r="B71" s="782"/>
      <c r="C71" s="782"/>
      <c r="D71" s="782"/>
      <c r="E71" s="782"/>
      <c r="F71" s="782"/>
      <c r="G71" s="782"/>
      <c r="H71" s="782"/>
      <c r="I71" s="782"/>
    </row>
    <row r="72" spans="1:19" x14ac:dyDescent="0.15">
      <c r="A72" s="859" t="s">
        <v>953</v>
      </c>
      <c r="B72" s="782"/>
      <c r="C72" s="1005">
        <v>48.9</v>
      </c>
      <c r="D72" s="1005">
        <v>24.9</v>
      </c>
      <c r="E72" s="1005">
        <v>53.5</v>
      </c>
      <c r="F72" s="1005"/>
      <c r="G72" s="1005">
        <v>65.7</v>
      </c>
      <c r="H72" s="1005">
        <v>53.8</v>
      </c>
      <c r="I72" s="1005">
        <v>58.7</v>
      </c>
      <c r="J72" s="859" t="s">
        <v>18</v>
      </c>
      <c r="L72" t="s">
        <v>18</v>
      </c>
    </row>
    <row r="73" spans="1:19" x14ac:dyDescent="0.15">
      <c r="A73" s="859" t="s">
        <v>952</v>
      </c>
      <c r="B73" s="782"/>
      <c r="C73" s="1005">
        <v>30.4</v>
      </c>
      <c r="D73" s="1005">
        <v>15.5</v>
      </c>
      <c r="E73" s="1005">
        <v>33.200000000000003</v>
      </c>
      <c r="F73" s="1005"/>
      <c r="G73" s="1005">
        <v>40.799999999999997</v>
      </c>
      <c r="H73" s="1005">
        <v>33.5</v>
      </c>
      <c r="I73" s="1005">
        <v>36.5</v>
      </c>
      <c r="J73" s="859"/>
      <c r="L73" s="873"/>
      <c r="M73" s="873"/>
      <c r="N73" s="873"/>
      <c r="O73" s="873"/>
      <c r="P73" s="873"/>
      <c r="Q73" s="873"/>
    </row>
    <row r="74" spans="1:19" x14ac:dyDescent="0.15">
      <c r="A74" s="859" t="s">
        <v>954</v>
      </c>
      <c r="B74" s="782"/>
      <c r="C74" s="1005">
        <v>63.5</v>
      </c>
      <c r="D74" s="1005">
        <v>10.7</v>
      </c>
      <c r="E74" s="1005">
        <v>53.5</v>
      </c>
      <c r="F74" s="1005"/>
      <c r="G74" s="1009">
        <v>20</v>
      </c>
      <c r="H74" s="1005">
        <v>5.8</v>
      </c>
      <c r="I74" s="1005">
        <v>22.6</v>
      </c>
      <c r="J74" s="859"/>
    </row>
    <row r="75" spans="1:19" x14ac:dyDescent="0.15">
      <c r="A75" s="859" t="s">
        <v>955</v>
      </c>
      <c r="B75" s="782"/>
      <c r="C75" s="1005">
        <v>39.5</v>
      </c>
      <c r="D75" s="1005">
        <v>6.7</v>
      </c>
      <c r="E75" s="1005">
        <v>33.299999999999997</v>
      </c>
      <c r="F75" s="1005"/>
      <c r="G75" s="1005">
        <v>12.5</v>
      </c>
      <c r="H75" s="1005">
        <v>3.6</v>
      </c>
      <c r="I75" s="1005">
        <v>14.3</v>
      </c>
    </row>
    <row r="76" spans="1:19" x14ac:dyDescent="0.15">
      <c r="A76" s="859" t="s">
        <v>1022</v>
      </c>
      <c r="B76" s="782"/>
      <c r="C76" s="1005">
        <v>25.5</v>
      </c>
      <c r="D76" s="1005">
        <v>17.899999999999999</v>
      </c>
      <c r="E76" s="1009">
        <v>14</v>
      </c>
      <c r="F76" s="1009"/>
      <c r="G76" s="1009">
        <v>28.6</v>
      </c>
      <c r="H76" s="1009">
        <v>30.8</v>
      </c>
      <c r="I76" s="1009">
        <v>35.5</v>
      </c>
      <c r="L76" s="3"/>
      <c r="M76" s="3"/>
      <c r="N76" s="3"/>
      <c r="O76" s="3"/>
      <c r="P76" s="3"/>
      <c r="Q76" s="3"/>
    </row>
    <row r="77" spans="1:19" x14ac:dyDescent="0.15">
      <c r="A77" s="859" t="s">
        <v>1023</v>
      </c>
      <c r="B77" s="782"/>
      <c r="C77" s="1005">
        <v>15.8</v>
      </c>
      <c r="D77" s="1005">
        <v>11.1</v>
      </c>
      <c r="E77" s="1009">
        <v>8.6999999999999993</v>
      </c>
      <c r="F77" s="1009"/>
      <c r="G77" s="1009">
        <v>17.899999999999999</v>
      </c>
      <c r="H77" s="1009">
        <v>19</v>
      </c>
      <c r="I77" s="1009">
        <v>22.4</v>
      </c>
      <c r="L77" s="3"/>
      <c r="M77" s="3"/>
      <c r="N77" s="3"/>
      <c r="O77" s="3"/>
      <c r="P77" s="3"/>
      <c r="Q77" s="3"/>
    </row>
    <row r="78" spans="1:19" x14ac:dyDescent="0.15">
      <c r="A78" s="859" t="s">
        <v>1024</v>
      </c>
      <c r="B78" s="782"/>
      <c r="C78" s="1005">
        <v>25.5</v>
      </c>
      <c r="D78" s="1005">
        <v>10.7</v>
      </c>
      <c r="E78" s="1009">
        <v>25.6</v>
      </c>
      <c r="F78" s="1009"/>
      <c r="G78" s="1009">
        <v>31.4</v>
      </c>
      <c r="H78" s="1009">
        <v>23.1</v>
      </c>
      <c r="I78" s="1009">
        <v>29</v>
      </c>
      <c r="L78" s="6"/>
      <c r="M78" s="6"/>
      <c r="N78" s="6"/>
      <c r="O78" s="6"/>
      <c r="P78" s="6"/>
      <c r="Q78" s="6"/>
    </row>
    <row r="79" spans="1:19" x14ac:dyDescent="0.15">
      <c r="A79" s="859" t="s">
        <v>1025</v>
      </c>
      <c r="B79" s="782"/>
      <c r="C79" s="1005">
        <v>15.8</v>
      </c>
      <c r="D79" s="1005">
        <v>6.7</v>
      </c>
      <c r="E79" s="1009">
        <v>15.9</v>
      </c>
      <c r="F79" s="1009"/>
      <c r="G79" s="1009">
        <v>19.600000000000001</v>
      </c>
      <c r="H79" s="1009">
        <v>14.3</v>
      </c>
      <c r="I79" s="1009">
        <v>18.399999999999999</v>
      </c>
      <c r="L79" s="6"/>
      <c r="M79" s="6"/>
      <c r="N79" s="6"/>
      <c r="O79" s="6"/>
      <c r="P79" s="6"/>
      <c r="Q79" s="6"/>
    </row>
    <row r="80" spans="1:19" x14ac:dyDescent="0.15">
      <c r="A80" s="859" t="s">
        <v>1026</v>
      </c>
      <c r="B80" s="782"/>
      <c r="C80" s="1005">
        <v>51.1</v>
      </c>
      <c r="D80" s="1005">
        <v>28.6</v>
      </c>
      <c r="E80" s="1009">
        <v>39.5</v>
      </c>
      <c r="F80" s="1009"/>
      <c r="G80" s="1009">
        <v>60</v>
      </c>
      <c r="H80" s="1009">
        <v>53.8</v>
      </c>
      <c r="I80" s="1009">
        <v>64.5</v>
      </c>
      <c r="L80" s="3"/>
      <c r="M80" s="3"/>
      <c r="N80" s="3"/>
      <c r="O80" s="3"/>
      <c r="P80" s="3"/>
      <c r="Q80" s="3"/>
      <c r="S80" t="s">
        <v>18</v>
      </c>
    </row>
    <row r="81" spans="1:17" x14ac:dyDescent="0.15">
      <c r="A81" s="859" t="s">
        <v>1027</v>
      </c>
      <c r="B81" s="782"/>
      <c r="C81" s="1005">
        <v>31.6</v>
      </c>
      <c r="D81" s="1005">
        <v>17.8</v>
      </c>
      <c r="E81" s="1009">
        <v>24.6</v>
      </c>
      <c r="F81" s="1009"/>
      <c r="G81" s="1009">
        <v>37.5</v>
      </c>
      <c r="H81" s="1009">
        <v>33.299999999999997</v>
      </c>
      <c r="I81" s="1009">
        <v>40.799999999999997</v>
      </c>
      <c r="L81" s="3"/>
      <c r="M81" s="3"/>
      <c r="N81" s="3"/>
      <c r="O81" s="3"/>
      <c r="P81" s="3"/>
      <c r="Q81" s="3"/>
    </row>
    <row r="82" spans="1:17" x14ac:dyDescent="0.15">
      <c r="A82" s="859" t="s">
        <v>1020</v>
      </c>
      <c r="B82" s="782"/>
      <c r="C82" s="1009">
        <v>4.2553191489361701</v>
      </c>
      <c r="D82" s="1009">
        <v>10.714285714285714</v>
      </c>
      <c r="E82" s="1009">
        <v>2.3255813953488373</v>
      </c>
      <c r="F82" s="1005"/>
      <c r="G82" s="1009">
        <v>0</v>
      </c>
      <c r="H82" s="1009">
        <v>13.461538461538462</v>
      </c>
      <c r="I82" s="1009">
        <v>58.064516129032256</v>
      </c>
      <c r="L82" s="3"/>
      <c r="M82" s="3"/>
      <c r="N82" s="3"/>
      <c r="O82" s="3"/>
      <c r="P82" s="3"/>
      <c r="Q82" s="3"/>
    </row>
    <row r="83" spans="1:17" x14ac:dyDescent="0.15">
      <c r="A83" s="859" t="s">
        <v>1021</v>
      </c>
      <c r="B83" s="782"/>
      <c r="C83" s="1009">
        <v>2.6315789473684212</v>
      </c>
      <c r="D83" s="1009">
        <v>6.6666666666666661</v>
      </c>
      <c r="E83" s="1009">
        <v>1.4492753623188408</v>
      </c>
      <c r="F83" s="1005"/>
      <c r="G83" s="1009">
        <v>0</v>
      </c>
      <c r="H83" s="1009">
        <v>8.3333333333333339</v>
      </c>
      <c r="I83" s="1009">
        <v>36.734693877551024</v>
      </c>
      <c r="L83" s="3"/>
      <c r="M83" s="3"/>
      <c r="N83" s="3"/>
      <c r="O83" s="3"/>
      <c r="P83" s="3"/>
      <c r="Q83" s="3"/>
    </row>
    <row r="84" spans="1:17" x14ac:dyDescent="0.15">
      <c r="A84" s="859" t="s">
        <v>18</v>
      </c>
      <c r="B84" s="782"/>
    </row>
    <row r="85" spans="1:17" x14ac:dyDescent="0.15">
      <c r="A85" s="1" t="s">
        <v>746</v>
      </c>
      <c r="B85" s="782"/>
      <c r="L85" t="s">
        <v>18</v>
      </c>
    </row>
    <row r="86" spans="1:17" x14ac:dyDescent="0.15">
      <c r="A86" s="2" t="s">
        <v>747</v>
      </c>
      <c r="B86" s="782"/>
      <c r="C86" s="1013">
        <v>1.75</v>
      </c>
      <c r="D86" s="1013">
        <v>5.16</v>
      </c>
      <c r="E86" s="1013">
        <v>0.94</v>
      </c>
      <c r="F86" s="1013"/>
      <c r="G86" s="1013">
        <v>1.39</v>
      </c>
      <c r="H86" s="1013">
        <v>6.23</v>
      </c>
      <c r="I86" s="1014">
        <v>4.8</v>
      </c>
    </row>
    <row r="87" spans="1:17" x14ac:dyDescent="0.15">
      <c r="A87" s="2" t="s">
        <v>788</v>
      </c>
      <c r="B87" s="782"/>
      <c r="C87" s="1013">
        <v>2.15</v>
      </c>
      <c r="D87" s="1013">
        <v>2.1</v>
      </c>
      <c r="E87" s="1013">
        <v>0.31</v>
      </c>
      <c r="F87" s="1013"/>
      <c r="G87" s="1013">
        <v>0.72</v>
      </c>
      <c r="H87" s="1013">
        <v>1.61</v>
      </c>
      <c r="I87" s="1014">
        <v>1.5</v>
      </c>
    </row>
    <row r="88" spans="1:17" x14ac:dyDescent="0.15">
      <c r="A88" s="2" t="s">
        <v>748</v>
      </c>
      <c r="B88" s="782"/>
      <c r="C88" s="1013">
        <v>3.91</v>
      </c>
      <c r="D88" s="1013">
        <v>7.26</v>
      </c>
      <c r="E88" s="1013">
        <v>1.25</v>
      </c>
      <c r="F88" s="1013"/>
      <c r="G88" s="1013">
        <v>2.11</v>
      </c>
      <c r="H88" s="1013">
        <v>7.84</v>
      </c>
      <c r="I88" s="1014">
        <v>6.3</v>
      </c>
      <c r="K88" s="2" t="s">
        <v>18</v>
      </c>
    </row>
    <row r="89" spans="1:17" x14ac:dyDescent="0.15">
      <c r="A89" s="2" t="s">
        <v>749</v>
      </c>
      <c r="B89" s="782"/>
      <c r="C89" s="1013">
        <v>0.06</v>
      </c>
      <c r="D89" s="1013">
        <v>1.1499999999999999</v>
      </c>
      <c r="E89" s="1013">
        <v>0.31</v>
      </c>
      <c r="F89" s="1013"/>
      <c r="G89" s="1013">
        <v>7.0000000000000007E-2</v>
      </c>
      <c r="H89" s="1013">
        <v>0.23</v>
      </c>
      <c r="I89" s="1014">
        <v>0.74</v>
      </c>
    </row>
    <row r="90" spans="1:17" x14ac:dyDescent="0.15">
      <c r="A90" s="2" t="s">
        <v>750</v>
      </c>
      <c r="B90" s="782"/>
      <c r="C90" s="1013">
        <v>7.0000000000000007E-2</v>
      </c>
      <c r="D90" s="1013">
        <v>0.08</v>
      </c>
      <c r="E90" s="1013">
        <v>0.02</v>
      </c>
      <c r="F90" s="1013"/>
      <c r="G90" s="1013">
        <v>0.02</v>
      </c>
      <c r="H90" s="1013">
        <v>0.06</v>
      </c>
      <c r="I90" s="1014">
        <v>0.04</v>
      </c>
    </row>
    <row r="91" spans="1:17" x14ac:dyDescent="0.15">
      <c r="A91" s="2" t="s">
        <v>751</v>
      </c>
      <c r="B91" s="782"/>
      <c r="C91" s="1013">
        <v>0.13</v>
      </c>
      <c r="D91" s="1013">
        <v>1.23</v>
      </c>
      <c r="E91" s="1013">
        <v>0.32</v>
      </c>
      <c r="F91" s="1013"/>
      <c r="G91" s="1014">
        <v>0.1</v>
      </c>
      <c r="H91" s="1013">
        <v>0.28000000000000003</v>
      </c>
      <c r="I91" s="1013">
        <v>0.78</v>
      </c>
    </row>
    <row r="92" spans="1:17" x14ac:dyDescent="0.15">
      <c r="A92" s="2" t="s">
        <v>753</v>
      </c>
      <c r="B92" s="782"/>
      <c r="C92" s="1013">
        <v>4.04</v>
      </c>
      <c r="D92" s="1013">
        <v>8.49</v>
      </c>
      <c r="E92" s="1013">
        <v>1.57</v>
      </c>
      <c r="F92" s="1015"/>
      <c r="G92" s="1013">
        <v>2.21</v>
      </c>
      <c r="H92" s="1013">
        <v>8.1199999999999992</v>
      </c>
      <c r="I92" s="1014">
        <v>7.08</v>
      </c>
    </row>
    <row r="93" spans="1:17" x14ac:dyDescent="0.15">
      <c r="A93" s="2" t="s">
        <v>752</v>
      </c>
      <c r="B93" s="782"/>
      <c r="C93" s="1013">
        <v>0.46</v>
      </c>
      <c r="D93" s="1013">
        <v>1.03</v>
      </c>
      <c r="E93" s="1013">
        <v>0.25</v>
      </c>
      <c r="F93" s="1015"/>
      <c r="G93" s="1013">
        <v>0.32</v>
      </c>
      <c r="H93" s="1013">
        <v>1.36</v>
      </c>
      <c r="I93" s="1014">
        <v>1</v>
      </c>
    </row>
    <row r="94" spans="1:17" x14ac:dyDescent="0.15">
      <c r="A94" s="2" t="s">
        <v>754</v>
      </c>
      <c r="B94" s="782"/>
      <c r="C94" s="1013">
        <v>1.04</v>
      </c>
      <c r="D94" s="1013">
        <v>2.38</v>
      </c>
      <c r="E94" s="1013">
        <v>0.53</v>
      </c>
      <c r="F94" s="1015"/>
      <c r="G94" s="1013">
        <v>0.69</v>
      </c>
      <c r="H94" s="1013">
        <v>3.17</v>
      </c>
      <c r="I94" s="1014">
        <v>2.2599999999999998</v>
      </c>
    </row>
    <row r="95" spans="1:17" x14ac:dyDescent="0.15">
      <c r="A95" s="2" t="s">
        <v>803</v>
      </c>
      <c r="B95" s="782"/>
      <c r="C95" s="1013">
        <v>0.37</v>
      </c>
      <c r="D95" s="1013">
        <v>0.89</v>
      </c>
      <c r="E95" s="1013">
        <v>0.17</v>
      </c>
      <c r="F95" s="1015"/>
      <c r="G95" s="1013">
        <v>0.14000000000000001</v>
      </c>
      <c r="H95" s="1013">
        <v>0.64</v>
      </c>
      <c r="I95" s="1014">
        <v>0.66</v>
      </c>
      <c r="K95" s="2" t="s">
        <v>18</v>
      </c>
    </row>
    <row r="96" spans="1:17" x14ac:dyDescent="0.15">
      <c r="A96" s="2" t="s">
        <v>804</v>
      </c>
      <c r="B96" s="782"/>
      <c r="C96" s="1013">
        <v>0.11</v>
      </c>
      <c r="D96" s="1013">
        <v>0.37</v>
      </c>
      <c r="E96" s="1013">
        <v>0.61</v>
      </c>
      <c r="F96" s="1015"/>
      <c r="G96" s="1013">
        <v>0.15</v>
      </c>
      <c r="H96" s="1013">
        <v>3.69</v>
      </c>
      <c r="I96" s="1014">
        <v>2.83</v>
      </c>
      <c r="M96" s="2" t="s">
        <v>18</v>
      </c>
    </row>
    <row r="97" spans="1:12" x14ac:dyDescent="0.15">
      <c r="B97" s="782"/>
      <c r="C97" s="782"/>
    </row>
    <row r="98" spans="1:12" x14ac:dyDescent="0.15">
      <c r="A98" s="1" t="s">
        <v>755</v>
      </c>
      <c r="B98" s="865" t="s">
        <v>18</v>
      </c>
    </row>
    <row r="99" spans="1:12" x14ac:dyDescent="0.15">
      <c r="A99" s="2" t="s">
        <v>756</v>
      </c>
      <c r="B99" s="782"/>
      <c r="C99" s="1011">
        <v>1.52</v>
      </c>
      <c r="D99" s="1011">
        <v>2.58</v>
      </c>
      <c r="E99" s="1011">
        <v>2.63</v>
      </c>
      <c r="F99" s="1010"/>
      <c r="G99" s="1011">
        <v>1.95</v>
      </c>
      <c r="H99" s="1011">
        <v>2.85</v>
      </c>
      <c r="I99" s="1012">
        <v>2.06</v>
      </c>
      <c r="L99" s="2" t="s">
        <v>18</v>
      </c>
    </row>
    <row r="100" spans="1:12" x14ac:dyDescent="0.15">
      <c r="B100" s="782"/>
    </row>
    <row r="101" spans="1:12" x14ac:dyDescent="0.15">
      <c r="A101" s="1" t="s">
        <v>768</v>
      </c>
      <c r="B101" s="782"/>
    </row>
    <row r="102" spans="1:12" x14ac:dyDescent="0.15">
      <c r="A102" s="2" t="s">
        <v>769</v>
      </c>
      <c r="B102" s="782"/>
      <c r="C102" s="1012">
        <v>17.021276595744681</v>
      </c>
      <c r="D102" s="1012">
        <v>35.58</v>
      </c>
      <c r="E102" s="1012">
        <v>37.209302325581397</v>
      </c>
      <c r="F102" s="1012" t="s">
        <v>18</v>
      </c>
      <c r="G102" s="1012">
        <v>65.714285714285722</v>
      </c>
      <c r="H102" s="1020">
        <v>1257.6923076923076</v>
      </c>
      <c r="I102" s="1012">
        <v>603.67097212780425</v>
      </c>
    </row>
    <row r="103" spans="1:12" x14ac:dyDescent="0.15">
      <c r="A103" s="2" t="s">
        <v>793</v>
      </c>
      <c r="B103" s="782"/>
      <c r="C103" s="1012">
        <v>10.576530931699301</v>
      </c>
      <c r="D103" s="1011">
        <v>22.11</v>
      </c>
      <c r="E103" s="1012">
        <v>23.120788548365912</v>
      </c>
      <c r="F103" s="1011"/>
      <c r="G103" s="1012">
        <v>40.83296406131052</v>
      </c>
      <c r="H103" s="1020">
        <v>781.493768698493</v>
      </c>
      <c r="I103" s="1012">
        <v>375.1037516701241</v>
      </c>
    </row>
    <row r="104" spans="1:12" x14ac:dyDescent="0.15">
      <c r="B104" s="782"/>
      <c r="F104" s="2"/>
      <c r="K104" s="2" t="s">
        <v>18</v>
      </c>
    </row>
    <row r="105" spans="1:12" x14ac:dyDescent="0.15">
      <c r="A105" s="1" t="s">
        <v>770</v>
      </c>
      <c r="B105" s="782"/>
      <c r="C105" s="2"/>
    </row>
    <row r="106" spans="1:12" x14ac:dyDescent="0.15">
      <c r="A106" s="2" t="s">
        <v>794</v>
      </c>
      <c r="B106" s="782"/>
      <c r="C106" s="1005">
        <v>10081</v>
      </c>
      <c r="D106" s="1005">
        <v>5184</v>
      </c>
      <c r="E106" s="1005">
        <v>3069</v>
      </c>
      <c r="F106" s="1005"/>
      <c r="G106" s="1005">
        <v>3057</v>
      </c>
      <c r="H106" s="1005">
        <v>3476</v>
      </c>
      <c r="I106" s="1005">
        <v>2742</v>
      </c>
    </row>
    <row r="107" spans="1:12" x14ac:dyDescent="0.15">
      <c r="A107" s="2" t="s">
        <v>795</v>
      </c>
      <c r="B107" s="782"/>
      <c r="C107" s="1005">
        <v>4609</v>
      </c>
      <c r="D107" s="1005">
        <v>12495</v>
      </c>
      <c r="E107" s="1005">
        <v>3196</v>
      </c>
      <c r="F107" s="1005"/>
      <c r="G107" s="1005">
        <v>1682</v>
      </c>
      <c r="H107" s="1005">
        <v>3806</v>
      </c>
      <c r="I107" s="1005">
        <v>4643</v>
      </c>
    </row>
    <row r="108" spans="1:12" x14ac:dyDescent="0.15">
      <c r="A108" s="859" t="s">
        <v>920</v>
      </c>
      <c r="B108" s="782"/>
      <c r="C108" s="1005">
        <f>SUM(C106:C107)</f>
        <v>14690</v>
      </c>
      <c r="D108" s="1005">
        <f>SUM(D106:D107)</f>
        <v>17679</v>
      </c>
      <c r="E108" s="1005">
        <f>SUM(E106:E107)</f>
        <v>6265</v>
      </c>
      <c r="F108" s="1005"/>
      <c r="G108" s="1005">
        <f>SUM(G106:G107)</f>
        <v>4739</v>
      </c>
      <c r="H108" s="1005">
        <f>SUM(H106:H107)</f>
        <v>7282</v>
      </c>
      <c r="I108" s="1005">
        <f>SUM(I106:I107)</f>
        <v>7385</v>
      </c>
    </row>
    <row r="109" spans="1:12" x14ac:dyDescent="0.15">
      <c r="B109" s="782"/>
      <c r="F109" s="782"/>
    </row>
    <row r="110" spans="1:12" x14ac:dyDescent="0.15">
      <c r="A110" s="1" t="s">
        <v>777</v>
      </c>
      <c r="B110" s="782"/>
      <c r="C110" s="859" t="s">
        <v>18</v>
      </c>
      <c r="D110" s="859" t="s">
        <v>18</v>
      </c>
      <c r="E110" s="859" t="s">
        <v>18</v>
      </c>
      <c r="G110" s="859" t="s">
        <v>18</v>
      </c>
      <c r="H110" s="859" t="s">
        <v>18</v>
      </c>
      <c r="I110" s="859" t="s">
        <v>18</v>
      </c>
      <c r="J110" s="859" t="s">
        <v>18</v>
      </c>
      <c r="L110" s="2" t="s">
        <v>18</v>
      </c>
    </row>
    <row r="111" spans="1:12" x14ac:dyDescent="0.15">
      <c r="A111" s="2" t="s">
        <v>813</v>
      </c>
      <c r="B111" s="782"/>
      <c r="C111" s="1021">
        <v>0.23076923076923078</v>
      </c>
      <c r="D111" s="1021">
        <v>0.57530000000000003</v>
      </c>
      <c r="E111" s="1021">
        <v>0.5</v>
      </c>
      <c r="F111" s="1022"/>
      <c r="G111" s="1021">
        <v>0.36199999999999999</v>
      </c>
      <c r="H111" s="1021">
        <v>0.7581</v>
      </c>
      <c r="I111" s="1021">
        <v>0.752</v>
      </c>
      <c r="J111" s="2" t="s">
        <v>18</v>
      </c>
      <c r="K111" s="2" t="s">
        <v>18</v>
      </c>
      <c r="L111" s="2" t="s">
        <v>18</v>
      </c>
    </row>
    <row r="112" spans="1:12" x14ac:dyDescent="0.15">
      <c r="A112" s="2" t="s">
        <v>808</v>
      </c>
      <c r="B112" s="782"/>
      <c r="C112" s="1021">
        <v>0.30769230769230771</v>
      </c>
      <c r="D112" s="1021">
        <v>8.2199999999999995E-2</v>
      </c>
      <c r="E112" s="1021">
        <v>6.25E-2</v>
      </c>
      <c r="F112" s="1022"/>
      <c r="G112" s="1021">
        <v>6.4000000000000001E-2</v>
      </c>
      <c r="H112" s="1021">
        <v>8.0999999999999996E-3</v>
      </c>
      <c r="I112" s="1021">
        <v>2.4400000000000002E-2</v>
      </c>
      <c r="K112" s="2" t="s">
        <v>18</v>
      </c>
      <c r="L112" s="2" t="s">
        <v>18</v>
      </c>
    </row>
    <row r="113" spans="1:13" x14ac:dyDescent="0.15">
      <c r="A113" s="2" t="s">
        <v>805</v>
      </c>
      <c r="B113" s="782"/>
      <c r="C113" s="1021">
        <v>0.10256410256410256</v>
      </c>
      <c r="D113" s="1021">
        <v>0.39729999999999999</v>
      </c>
      <c r="E113" s="1021">
        <v>0.2316</v>
      </c>
      <c r="F113" s="1022"/>
      <c r="G113" s="1021">
        <v>0.37</v>
      </c>
      <c r="H113" s="1021">
        <v>0.79200000000000004</v>
      </c>
      <c r="I113" s="1021">
        <v>0.77800000000000002</v>
      </c>
      <c r="K113" s="2" t="s">
        <v>18</v>
      </c>
    </row>
    <row r="114" spans="1:13" ht="18" x14ac:dyDescent="0.2">
      <c r="A114" s="2" t="s">
        <v>809</v>
      </c>
      <c r="B114" s="782"/>
      <c r="C114" s="1021">
        <v>0.17948717948717949</v>
      </c>
      <c r="D114" s="1021">
        <v>8.2199999999999995E-2</v>
      </c>
      <c r="E114" s="1021">
        <v>0.1158</v>
      </c>
      <c r="F114" s="1022"/>
      <c r="G114" s="1021">
        <v>0.152</v>
      </c>
      <c r="H114" s="1021">
        <v>8.0000000000000002E-3</v>
      </c>
      <c r="I114" s="1021">
        <v>8.0999999999999996E-3</v>
      </c>
      <c r="L114" s="853" t="s">
        <v>18</v>
      </c>
    </row>
    <row r="115" spans="1:13" ht="20" x14ac:dyDescent="0.2">
      <c r="A115" s="2" t="s">
        <v>814</v>
      </c>
      <c r="B115" s="782"/>
      <c r="C115" s="1021">
        <v>7.4999999999999997E-2</v>
      </c>
      <c r="D115" s="1021">
        <v>0.41099999999999998</v>
      </c>
      <c r="E115" s="1021">
        <v>0.30299999999999999</v>
      </c>
      <c r="F115" s="1022"/>
      <c r="G115" s="1021">
        <v>0.29799999999999999</v>
      </c>
      <c r="H115" s="1021">
        <v>0.76380000000000003</v>
      </c>
      <c r="I115" s="1021">
        <v>0.55100000000000005</v>
      </c>
      <c r="K115" s="2" t="s">
        <v>18</v>
      </c>
      <c r="L115" s="854" t="s">
        <v>18</v>
      </c>
    </row>
    <row r="116" spans="1:13" x14ac:dyDescent="0.15">
      <c r="A116" s="2" t="s">
        <v>810</v>
      </c>
      <c r="B116" s="782"/>
      <c r="C116" s="1021">
        <v>0.42499999999999999</v>
      </c>
      <c r="D116" s="1021">
        <v>9.5899999999999999E-2</v>
      </c>
      <c r="E116" s="1021">
        <v>0.1212</v>
      </c>
      <c r="F116" s="1022"/>
      <c r="G116" s="1021">
        <v>0.191</v>
      </c>
      <c r="H116" s="1021">
        <v>0</v>
      </c>
      <c r="I116" s="1021">
        <v>8.0000000000000002E-3</v>
      </c>
      <c r="K116" s="2" t="s">
        <v>18</v>
      </c>
    </row>
    <row r="117" spans="1:13" x14ac:dyDescent="0.15">
      <c r="A117" s="2" t="s">
        <v>811</v>
      </c>
      <c r="B117" s="782"/>
      <c r="C117" s="1021">
        <v>2.5000000000000001E-2</v>
      </c>
      <c r="D117" s="1021">
        <v>0.52049999999999996</v>
      </c>
      <c r="E117" s="1021">
        <v>0.21279999999999999</v>
      </c>
      <c r="F117" s="1022"/>
      <c r="G117" s="1021">
        <v>0.28299999999999997</v>
      </c>
      <c r="H117" s="1021">
        <v>0.48820000000000002</v>
      </c>
      <c r="I117" s="1021">
        <v>0.152</v>
      </c>
    </row>
    <row r="118" spans="1:13" x14ac:dyDescent="0.15">
      <c r="A118" s="2" t="s">
        <v>812</v>
      </c>
      <c r="B118" s="782"/>
      <c r="C118" s="1021">
        <v>0.67500000000000004</v>
      </c>
      <c r="D118" s="1021">
        <v>9.5899999999999999E-2</v>
      </c>
      <c r="E118" s="1021">
        <v>0.10639999999999999</v>
      </c>
      <c r="F118" s="1022"/>
      <c r="G118" s="1021">
        <v>0.152</v>
      </c>
      <c r="H118" s="1021">
        <v>7.9000000000000008E-3</v>
      </c>
      <c r="I118" s="1021">
        <v>0.14399999999999999</v>
      </c>
      <c r="L118" s="2" t="s">
        <v>18</v>
      </c>
    </row>
    <row r="119" spans="1:13" x14ac:dyDescent="0.15">
      <c r="A119" s="2" t="s">
        <v>806</v>
      </c>
      <c r="B119" s="782"/>
      <c r="C119" s="1021">
        <v>0.65</v>
      </c>
      <c r="D119" s="1021">
        <v>0.36109999999999998</v>
      </c>
      <c r="E119" s="1021">
        <v>0.31909999999999999</v>
      </c>
      <c r="F119" s="1022"/>
      <c r="G119" s="1021">
        <v>0.54300000000000004</v>
      </c>
      <c r="H119" s="1021">
        <v>0.58730000000000004</v>
      </c>
      <c r="I119" s="1021">
        <v>0.32300000000000001</v>
      </c>
    </row>
    <row r="120" spans="1:13" x14ac:dyDescent="0.15">
      <c r="A120" s="2" t="s">
        <v>815</v>
      </c>
      <c r="B120" s="782"/>
      <c r="C120" s="1021">
        <v>0.15</v>
      </c>
      <c r="D120" s="1021">
        <v>9.7199999999999995E-2</v>
      </c>
      <c r="E120" s="1021">
        <v>0.17019999999999999</v>
      </c>
      <c r="F120" s="1022"/>
      <c r="G120" s="1021">
        <v>0.109</v>
      </c>
      <c r="H120" s="1021">
        <v>7.9000000000000008E-3</v>
      </c>
      <c r="I120" s="1021">
        <v>2.4E-2</v>
      </c>
      <c r="J120" s="2" t="s">
        <v>18</v>
      </c>
      <c r="L120" s="2" t="s">
        <v>18</v>
      </c>
    </row>
    <row r="121" spans="1:13" x14ac:dyDescent="0.15">
      <c r="B121" s="782"/>
    </row>
    <row r="122" spans="1:13" x14ac:dyDescent="0.15">
      <c r="A122" s="1" t="s">
        <v>778</v>
      </c>
      <c r="B122" s="782"/>
      <c r="E122" s="859" t="s">
        <v>18</v>
      </c>
      <c r="M122" t="s">
        <v>18</v>
      </c>
    </row>
    <row r="123" spans="1:13" x14ac:dyDescent="0.15">
      <c r="A123" s="2" t="s">
        <v>807</v>
      </c>
      <c r="B123" s="782"/>
      <c r="C123" s="1029">
        <v>0.21429999999999999</v>
      </c>
      <c r="D123" s="1029">
        <v>0.5</v>
      </c>
      <c r="E123" s="1030">
        <v>0.1875</v>
      </c>
      <c r="F123" s="1015"/>
      <c r="G123" s="1029">
        <v>0.42109999999999997</v>
      </c>
      <c r="H123" s="1031">
        <v>0.52629999999999999</v>
      </c>
      <c r="I123" s="1029">
        <v>0.3125</v>
      </c>
      <c r="J123" s="859" t="s">
        <v>18</v>
      </c>
    </row>
    <row r="124" spans="1:13" x14ac:dyDescent="0.15">
      <c r="A124" s="2" t="s">
        <v>836</v>
      </c>
      <c r="B124" s="782"/>
      <c r="C124" s="1029">
        <v>0.21429999999999999</v>
      </c>
      <c r="D124" s="1029">
        <v>0</v>
      </c>
      <c r="E124" s="1030">
        <v>0.125</v>
      </c>
      <c r="F124" s="1015"/>
      <c r="G124" s="1029">
        <v>0.10529999999999999</v>
      </c>
      <c r="H124" s="1031">
        <v>0</v>
      </c>
      <c r="I124" s="1029">
        <v>6.25E-2</v>
      </c>
      <c r="J124" s="859" t="s">
        <v>18</v>
      </c>
    </row>
    <row r="125" spans="1:13" x14ac:dyDescent="0.15">
      <c r="A125" s="859" t="s">
        <v>1012</v>
      </c>
      <c r="B125" s="782"/>
      <c r="C125" s="1032">
        <v>1.64</v>
      </c>
      <c r="D125" s="1033">
        <v>2.33</v>
      </c>
      <c r="E125" s="1034">
        <v>1.625</v>
      </c>
      <c r="F125" s="1035" t="s">
        <v>18</v>
      </c>
      <c r="G125" s="1032">
        <v>1.95</v>
      </c>
      <c r="H125" s="1036">
        <v>2.5299999999999998</v>
      </c>
      <c r="I125" s="1032">
        <v>1.875</v>
      </c>
      <c r="J125" s="859" t="s">
        <v>18</v>
      </c>
    </row>
    <row r="126" spans="1:13" x14ac:dyDescent="0.15">
      <c r="A126" s="2" t="s">
        <v>806</v>
      </c>
      <c r="B126" s="782"/>
      <c r="C126" s="1037">
        <v>0.42859999999999998</v>
      </c>
      <c r="D126" s="1037">
        <v>0.25</v>
      </c>
      <c r="E126" s="1038">
        <v>0.4375</v>
      </c>
      <c r="F126" s="1010"/>
      <c r="G126" s="1037">
        <v>0.31580000000000003</v>
      </c>
      <c r="H126" s="1037">
        <v>0.73680000000000001</v>
      </c>
      <c r="I126" s="1039">
        <v>0.3125</v>
      </c>
      <c r="J126" s="859" t="s">
        <v>18</v>
      </c>
    </row>
    <row r="127" spans="1:13" x14ac:dyDescent="0.15">
      <c r="A127" s="2" t="s">
        <v>815</v>
      </c>
      <c r="B127" s="782"/>
      <c r="C127" s="1037">
        <v>0.1429</v>
      </c>
      <c r="D127" s="1037">
        <v>0.16669999999999999</v>
      </c>
      <c r="E127" s="1038">
        <v>6.25E-2</v>
      </c>
      <c r="F127" s="1010"/>
      <c r="G127" s="1037">
        <v>0.21049999999999999</v>
      </c>
      <c r="H127" s="1037">
        <v>0</v>
      </c>
      <c r="I127" s="1039">
        <v>6.25E-2</v>
      </c>
      <c r="J127" s="859" t="s">
        <v>18</v>
      </c>
    </row>
    <row r="128" spans="1:13" x14ac:dyDescent="0.15">
      <c r="A128" s="859" t="s">
        <v>1012</v>
      </c>
      <c r="B128" s="782"/>
      <c r="C128" s="1040">
        <v>1.29</v>
      </c>
      <c r="D128" s="1040">
        <v>1.08</v>
      </c>
      <c r="E128" s="1041">
        <v>1.375</v>
      </c>
      <c r="F128" s="1010"/>
      <c r="G128" s="1042">
        <v>1.1299999999999999</v>
      </c>
      <c r="H128" s="1040">
        <v>1.76</v>
      </c>
      <c r="I128" s="1043">
        <v>1.3125</v>
      </c>
      <c r="J128" s="859" t="s">
        <v>18</v>
      </c>
    </row>
    <row r="129" spans="1:10" x14ac:dyDescent="0.15">
      <c r="B129" s="782"/>
    </row>
    <row r="130" spans="1:10" x14ac:dyDescent="0.15">
      <c r="A130" s="1" t="s">
        <v>779</v>
      </c>
      <c r="B130" s="782"/>
    </row>
    <row r="131" spans="1:10" x14ac:dyDescent="0.15">
      <c r="A131" s="2" t="s">
        <v>780</v>
      </c>
      <c r="B131" s="782"/>
      <c r="C131" s="797"/>
      <c r="D131" s="797"/>
      <c r="E131" s="797"/>
      <c r="F131" s="797"/>
      <c r="G131" s="797"/>
      <c r="H131" s="797"/>
      <c r="I131" s="797"/>
      <c r="J131" s="859" t="s">
        <v>923</v>
      </c>
    </row>
    <row r="132" spans="1:10" x14ac:dyDescent="0.15">
      <c r="A132" s="2" t="s">
        <v>781</v>
      </c>
      <c r="B132" s="782"/>
      <c r="C132" s="797"/>
      <c r="D132" s="797"/>
      <c r="E132" s="797"/>
      <c r="F132" s="797"/>
      <c r="G132" s="797"/>
      <c r="H132" s="797"/>
      <c r="I132" s="797"/>
      <c r="J132" s="859" t="s">
        <v>923</v>
      </c>
    </row>
    <row r="133" spans="1:10" x14ac:dyDescent="0.15">
      <c r="B133" s="782"/>
    </row>
    <row r="134" spans="1:10" x14ac:dyDescent="0.15">
      <c r="A134" s="930" t="s">
        <v>782</v>
      </c>
      <c r="B134" s="782"/>
    </row>
    <row r="135" spans="1:10" x14ac:dyDescent="0.15">
      <c r="A135" s="929" t="s">
        <v>780</v>
      </c>
      <c r="B135" s="782"/>
      <c r="C135" s="506"/>
      <c r="D135" s="506"/>
      <c r="E135" s="506"/>
      <c r="F135" s="506"/>
      <c r="G135" s="506"/>
      <c r="H135" s="506"/>
      <c r="I135" s="506"/>
      <c r="J135" s="859" t="s">
        <v>924</v>
      </c>
    </row>
    <row r="136" spans="1:10" x14ac:dyDescent="0.15">
      <c r="A136" s="929" t="s">
        <v>781</v>
      </c>
      <c r="B136" s="782"/>
      <c r="C136" s="506"/>
      <c r="D136" s="506"/>
      <c r="E136" s="506"/>
      <c r="F136" s="506"/>
      <c r="G136" s="506"/>
      <c r="H136" s="506"/>
      <c r="I136" s="506"/>
      <c r="J136" s="859" t="s">
        <v>924</v>
      </c>
    </row>
    <row r="137" spans="1:10" x14ac:dyDescent="0.15">
      <c r="B137" s="782"/>
    </row>
    <row r="138" spans="1:10" x14ac:dyDescent="0.15">
      <c r="B138" s="782"/>
    </row>
    <row r="139" spans="1:10" x14ac:dyDescent="0.15">
      <c r="B139" s="782"/>
    </row>
    <row r="140" spans="1:10" x14ac:dyDescent="0.15">
      <c r="B140" s="782"/>
    </row>
    <row r="141" spans="1:10" x14ac:dyDescent="0.15">
      <c r="B141" s="782"/>
    </row>
    <row r="142" spans="1:10" x14ac:dyDescent="0.15">
      <c r="B142" s="782"/>
    </row>
    <row r="143" spans="1:10" x14ac:dyDescent="0.15">
      <c r="B143" s="782"/>
    </row>
    <row r="144" spans="1:10" x14ac:dyDescent="0.15">
      <c r="B144" s="782"/>
    </row>
    <row r="145" spans="2:2" x14ac:dyDescent="0.15">
      <c r="B145" s="782"/>
    </row>
    <row r="146" spans="2:2" x14ac:dyDescent="0.15">
      <c r="B146" s="782"/>
    </row>
    <row r="147" spans="2:2" x14ac:dyDescent="0.15">
      <c r="B147" s="782"/>
    </row>
    <row r="148" spans="2:2" x14ac:dyDescent="0.15">
      <c r="B148" s="782"/>
    </row>
    <row r="149" spans="2:2" x14ac:dyDescent="0.15">
      <c r="B149" s="782"/>
    </row>
    <row r="150" spans="2:2" x14ac:dyDescent="0.15">
      <c r="B150" s="782"/>
    </row>
    <row r="151" spans="2:2" x14ac:dyDescent="0.15">
      <c r="B151" s="782"/>
    </row>
    <row r="152" spans="2:2" x14ac:dyDescent="0.15">
      <c r="B152" s="782"/>
    </row>
    <row r="153" spans="2:2" x14ac:dyDescent="0.15">
      <c r="B153" s="782"/>
    </row>
    <row r="154" spans="2:2" x14ac:dyDescent="0.15">
      <c r="B154" s="782"/>
    </row>
    <row r="155" spans="2:2" x14ac:dyDescent="0.15">
      <c r="B155" s="782"/>
    </row>
    <row r="156" spans="2:2" x14ac:dyDescent="0.15">
      <c r="B156" s="782"/>
    </row>
    <row r="157" spans="2:2" x14ac:dyDescent="0.15">
      <c r="B157" s="782"/>
    </row>
    <row r="158" spans="2:2" x14ac:dyDescent="0.15">
      <c r="B158" s="782"/>
    </row>
    <row r="159" spans="2:2" x14ac:dyDescent="0.15">
      <c r="B159" s="782"/>
    </row>
    <row r="160" spans="2:2" x14ac:dyDescent="0.15">
      <c r="B160" s="782"/>
    </row>
    <row r="161" spans="2:2" x14ac:dyDescent="0.15">
      <c r="B161" s="782"/>
    </row>
    <row r="162" spans="2:2" x14ac:dyDescent="0.15">
      <c r="B162" s="782"/>
    </row>
    <row r="163" spans="2:2" x14ac:dyDescent="0.15">
      <c r="B163" s="782"/>
    </row>
    <row r="164" spans="2:2" x14ac:dyDescent="0.15">
      <c r="B164" s="782"/>
    </row>
    <row r="165" spans="2:2" x14ac:dyDescent="0.15">
      <c r="B165" s="782"/>
    </row>
    <row r="166" spans="2:2" x14ac:dyDescent="0.15">
      <c r="B166" s="782"/>
    </row>
    <row r="167" spans="2:2" x14ac:dyDescent="0.15">
      <c r="B167" s="782"/>
    </row>
    <row r="168" spans="2:2" x14ac:dyDescent="0.15">
      <c r="B168" s="782"/>
    </row>
    <row r="169" spans="2:2" x14ac:dyDescent="0.15">
      <c r="B169" s="782"/>
    </row>
    <row r="170" spans="2:2" x14ac:dyDescent="0.15">
      <c r="B170" s="782"/>
    </row>
    <row r="171" spans="2:2" x14ac:dyDescent="0.15">
      <c r="B171" s="782"/>
    </row>
    <row r="172" spans="2:2" x14ac:dyDescent="0.15">
      <c r="B172" s="782"/>
    </row>
    <row r="173" spans="2:2" x14ac:dyDescent="0.15">
      <c r="B173" s="782"/>
    </row>
    <row r="174" spans="2:2" x14ac:dyDescent="0.15">
      <c r="B174" s="782"/>
    </row>
    <row r="175" spans="2:2" x14ac:dyDescent="0.15">
      <c r="B175" s="782"/>
    </row>
    <row r="176" spans="2:2" x14ac:dyDescent="0.15">
      <c r="B176" s="782"/>
    </row>
    <row r="177" spans="2:2" x14ac:dyDescent="0.15">
      <c r="B177" s="782"/>
    </row>
    <row r="178" spans="2:2" x14ac:dyDescent="0.15">
      <c r="B178" s="782"/>
    </row>
    <row r="179" spans="2:2" x14ac:dyDescent="0.15">
      <c r="B179" s="782"/>
    </row>
    <row r="180" spans="2:2" x14ac:dyDescent="0.15">
      <c r="B180" s="782"/>
    </row>
    <row r="181" spans="2:2" x14ac:dyDescent="0.15">
      <c r="B181" s="782"/>
    </row>
    <row r="182" spans="2:2" x14ac:dyDescent="0.15">
      <c r="B182" s="782"/>
    </row>
    <row r="183" spans="2:2" x14ac:dyDescent="0.15">
      <c r="B183" s="782"/>
    </row>
    <row r="184" spans="2:2" x14ac:dyDescent="0.15">
      <c r="B184" s="782"/>
    </row>
    <row r="185" spans="2:2" x14ac:dyDescent="0.15">
      <c r="B185" s="782"/>
    </row>
    <row r="186" spans="2:2" x14ac:dyDescent="0.15">
      <c r="B186" s="782"/>
    </row>
    <row r="187" spans="2:2" x14ac:dyDescent="0.15">
      <c r="B187" s="782"/>
    </row>
    <row r="188" spans="2:2" x14ac:dyDescent="0.15">
      <c r="B188" s="782"/>
    </row>
    <row r="189" spans="2:2" x14ac:dyDescent="0.15">
      <c r="B189" s="782"/>
    </row>
    <row r="190" spans="2:2" x14ac:dyDescent="0.15">
      <c r="B190" s="782"/>
    </row>
    <row r="191" spans="2:2" x14ac:dyDescent="0.15">
      <c r="B191" s="782"/>
    </row>
    <row r="192" spans="2:2" x14ac:dyDescent="0.15">
      <c r="B192" s="782"/>
    </row>
    <row r="193" spans="2:2" x14ac:dyDescent="0.15">
      <c r="B193" s="782"/>
    </row>
    <row r="194" spans="2:2" x14ac:dyDescent="0.15">
      <c r="B194" s="782"/>
    </row>
    <row r="195" spans="2:2" x14ac:dyDescent="0.15">
      <c r="B195" s="782"/>
    </row>
    <row r="196" spans="2:2" x14ac:dyDescent="0.15">
      <c r="B196" s="782"/>
    </row>
    <row r="197" spans="2:2" x14ac:dyDescent="0.15">
      <c r="B197" s="782"/>
    </row>
    <row r="198" spans="2:2" x14ac:dyDescent="0.15">
      <c r="B198" s="782"/>
    </row>
    <row r="199" spans="2:2" x14ac:dyDescent="0.15">
      <c r="B199" s="782"/>
    </row>
    <row r="200" spans="2:2" x14ac:dyDescent="0.15">
      <c r="B200" s="782"/>
    </row>
    <row r="201" spans="2:2" x14ac:dyDescent="0.15">
      <c r="B201" s="782"/>
    </row>
    <row r="202" spans="2:2" x14ac:dyDescent="0.15">
      <c r="B202" s="782"/>
    </row>
    <row r="203" spans="2:2" x14ac:dyDescent="0.15">
      <c r="B203" s="782"/>
    </row>
    <row r="204" spans="2:2" x14ac:dyDescent="0.15">
      <c r="B204" s="782"/>
    </row>
    <row r="205" spans="2:2" x14ac:dyDescent="0.15">
      <c r="B205" s="782"/>
    </row>
    <row r="206" spans="2:2" x14ac:dyDescent="0.15">
      <c r="B206" s="782"/>
    </row>
    <row r="207" spans="2:2" x14ac:dyDescent="0.15">
      <c r="B207" s="782"/>
    </row>
    <row r="208" spans="2:2" x14ac:dyDescent="0.15">
      <c r="B208" s="782"/>
    </row>
    <row r="209" spans="2:2" x14ac:dyDescent="0.15">
      <c r="B209" s="782"/>
    </row>
    <row r="210" spans="2:2" x14ac:dyDescent="0.15">
      <c r="B210" s="782"/>
    </row>
    <row r="211" spans="2:2" x14ac:dyDescent="0.15">
      <c r="B211" s="782"/>
    </row>
    <row r="212" spans="2:2" x14ac:dyDescent="0.15">
      <c r="B212" s="782"/>
    </row>
    <row r="213" spans="2:2" x14ac:dyDescent="0.15">
      <c r="B213" s="782"/>
    </row>
    <row r="214" spans="2:2" x14ac:dyDescent="0.15">
      <c r="B214" s="782"/>
    </row>
    <row r="215" spans="2:2" x14ac:dyDescent="0.15">
      <c r="B215" s="782"/>
    </row>
    <row r="216" spans="2:2" x14ac:dyDescent="0.15">
      <c r="B216" s="782"/>
    </row>
    <row r="217" spans="2:2" x14ac:dyDescent="0.15">
      <c r="B217" s="782"/>
    </row>
    <row r="218" spans="2:2" x14ac:dyDescent="0.15">
      <c r="B218" s="782"/>
    </row>
    <row r="219" spans="2:2" x14ac:dyDescent="0.15">
      <c r="B219" s="782"/>
    </row>
    <row r="220" spans="2:2" x14ac:dyDescent="0.15">
      <c r="B220" s="782"/>
    </row>
    <row r="221" spans="2:2" x14ac:dyDescent="0.15">
      <c r="B221" s="782"/>
    </row>
    <row r="222" spans="2:2" x14ac:dyDescent="0.15">
      <c r="B222" s="782"/>
    </row>
    <row r="223" spans="2:2" x14ac:dyDescent="0.15">
      <c r="B223" s="782"/>
    </row>
    <row r="224" spans="2:2" x14ac:dyDescent="0.15">
      <c r="B224" s="782"/>
    </row>
    <row r="225" spans="2:2" x14ac:dyDescent="0.15">
      <c r="B225" s="782"/>
    </row>
    <row r="226" spans="2:2" x14ac:dyDescent="0.15">
      <c r="B226" s="782"/>
    </row>
    <row r="227" spans="2:2" x14ac:dyDescent="0.15">
      <c r="B227" s="782"/>
    </row>
    <row r="228" spans="2:2" x14ac:dyDescent="0.15">
      <c r="B228" s="782"/>
    </row>
    <row r="229" spans="2:2" x14ac:dyDescent="0.15">
      <c r="B229" s="782"/>
    </row>
    <row r="230" spans="2:2" x14ac:dyDescent="0.15">
      <c r="B230" s="782"/>
    </row>
    <row r="231" spans="2:2" x14ac:dyDescent="0.15">
      <c r="B231" s="782"/>
    </row>
    <row r="232" spans="2:2" x14ac:dyDescent="0.15">
      <c r="B232" s="782"/>
    </row>
    <row r="233" spans="2:2" x14ac:dyDescent="0.15">
      <c r="B233" s="782"/>
    </row>
    <row r="234" spans="2:2" x14ac:dyDescent="0.15">
      <c r="B234" s="782"/>
    </row>
    <row r="235" spans="2:2" x14ac:dyDescent="0.15">
      <c r="B235" s="782"/>
    </row>
    <row r="236" spans="2:2" x14ac:dyDescent="0.15">
      <c r="B236" s="782"/>
    </row>
    <row r="237" spans="2:2" x14ac:dyDescent="0.15">
      <c r="B237" s="782"/>
    </row>
    <row r="238" spans="2:2" x14ac:dyDescent="0.15">
      <c r="B238" s="782"/>
    </row>
    <row r="239" spans="2:2" x14ac:dyDescent="0.15">
      <c r="B239" s="782"/>
    </row>
    <row r="240" spans="2:2" x14ac:dyDescent="0.15">
      <c r="B240" s="782"/>
    </row>
    <row r="241" spans="2:2" x14ac:dyDescent="0.15">
      <c r="B241" s="782"/>
    </row>
    <row r="242" spans="2:2" x14ac:dyDescent="0.15">
      <c r="B242" s="782"/>
    </row>
    <row r="243" spans="2:2" x14ac:dyDescent="0.15">
      <c r="B243" s="782"/>
    </row>
    <row r="244" spans="2:2" x14ac:dyDescent="0.15">
      <c r="B244" s="782"/>
    </row>
    <row r="245" spans="2:2" x14ac:dyDescent="0.15">
      <c r="B245" s="782"/>
    </row>
    <row r="246" spans="2:2" x14ac:dyDescent="0.15">
      <c r="B246" s="782"/>
    </row>
    <row r="247" spans="2:2" x14ac:dyDescent="0.15">
      <c r="B247" s="782"/>
    </row>
    <row r="248" spans="2:2" x14ac:dyDescent="0.15">
      <c r="B248" s="782"/>
    </row>
    <row r="249" spans="2:2" x14ac:dyDescent="0.15">
      <c r="B249" s="782"/>
    </row>
    <row r="250" spans="2:2" x14ac:dyDescent="0.15">
      <c r="B250" s="782"/>
    </row>
    <row r="251" spans="2:2" x14ac:dyDescent="0.15">
      <c r="B251" s="782"/>
    </row>
  </sheetData>
  <phoneticPr fontId="5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127"/>
  <sheetViews>
    <sheetView topLeftCell="K93" workbookViewId="0">
      <selection activeCell="AC93" sqref="AC93"/>
    </sheetView>
  </sheetViews>
  <sheetFormatPr baseColWidth="10" defaultColWidth="8.83203125" defaultRowHeight="13" x14ac:dyDescent="0.15"/>
  <cols>
    <col min="2" max="2" width="13.1640625" bestFit="1" customWidth="1"/>
    <col min="4" max="4" width="22.83203125" bestFit="1" customWidth="1"/>
    <col min="5" max="5" width="12.1640625" bestFit="1" customWidth="1"/>
    <col min="6" max="6" width="10.6640625" bestFit="1" customWidth="1"/>
  </cols>
  <sheetData>
    <row r="1" spans="1:20" x14ac:dyDescent="0.15">
      <c r="A1" s="884" t="s">
        <v>410</v>
      </c>
      <c r="B1" s="931" t="s">
        <v>18</v>
      </c>
      <c r="K1" s="1" t="s">
        <v>1002</v>
      </c>
      <c r="L1" s="1"/>
      <c r="M1" s="1"/>
      <c r="N1" s="1" t="s">
        <v>1004</v>
      </c>
      <c r="O1" s="1"/>
      <c r="P1" s="1"/>
      <c r="Q1" s="1" t="s">
        <v>1005</v>
      </c>
      <c r="R1" s="1"/>
      <c r="S1" s="1" t="s">
        <v>1006</v>
      </c>
      <c r="T1" s="1"/>
    </row>
    <row r="2" spans="1:20" x14ac:dyDescent="0.15">
      <c r="B2" s="859" t="s">
        <v>841</v>
      </c>
      <c r="C2" s="859" t="s">
        <v>850</v>
      </c>
      <c r="D2" s="859" t="s">
        <v>532</v>
      </c>
      <c r="K2" s="1"/>
      <c r="L2" s="1" t="s">
        <v>1003</v>
      </c>
      <c r="M2" s="1" t="s">
        <v>939</v>
      </c>
      <c r="N2" s="1" t="s">
        <v>937</v>
      </c>
      <c r="O2" s="1" t="s">
        <v>939</v>
      </c>
      <c r="P2" s="1"/>
      <c r="Q2" s="1"/>
      <c r="R2" s="1"/>
      <c r="S2" s="1" t="s">
        <v>937</v>
      </c>
      <c r="T2" s="1" t="s">
        <v>939</v>
      </c>
    </row>
    <row r="3" spans="1:20" x14ac:dyDescent="0.15">
      <c r="B3" s="859" t="s">
        <v>840</v>
      </c>
      <c r="C3" s="859" t="s">
        <v>851</v>
      </c>
      <c r="L3">
        <v>0.47</v>
      </c>
      <c r="M3">
        <v>0.76</v>
      </c>
      <c r="N3" s="992">
        <f>+B8/L3</f>
        <v>1540.4255319148938</v>
      </c>
      <c r="O3" s="992">
        <f>+B8/M3</f>
        <v>952.63157894736844</v>
      </c>
      <c r="Q3">
        <v>5</v>
      </c>
      <c r="S3" s="994">
        <f>+Q3/L3</f>
        <v>10.638297872340425</v>
      </c>
      <c r="T3" s="994">
        <f>+Q3/M3</f>
        <v>6.5789473684210522</v>
      </c>
    </row>
    <row r="4" spans="1:20" x14ac:dyDescent="0.15">
      <c r="B4" t="s">
        <v>852</v>
      </c>
      <c r="C4" s="859"/>
    </row>
    <row r="5" spans="1:20" x14ac:dyDescent="0.15">
      <c r="A5" s="883" t="s">
        <v>839</v>
      </c>
      <c r="B5">
        <v>333</v>
      </c>
      <c r="C5" s="879">
        <v>112</v>
      </c>
      <c r="D5">
        <v>2007</v>
      </c>
      <c r="E5" s="859" t="s">
        <v>839</v>
      </c>
      <c r="F5" t="s">
        <v>963</v>
      </c>
      <c r="I5" t="s">
        <v>964</v>
      </c>
    </row>
    <row r="6" spans="1:20" x14ac:dyDescent="0.15">
      <c r="A6" s="883" t="s">
        <v>842</v>
      </c>
      <c r="B6" s="859">
        <v>74</v>
      </c>
      <c r="C6" s="859">
        <v>188</v>
      </c>
      <c r="D6" s="859" t="s">
        <v>844</v>
      </c>
      <c r="E6" s="859" t="s">
        <v>843</v>
      </c>
      <c r="H6" s="859" t="s">
        <v>18</v>
      </c>
    </row>
    <row r="7" spans="1:20" x14ac:dyDescent="0.15">
      <c r="B7" s="859">
        <v>317</v>
      </c>
      <c r="C7" s="859">
        <v>185</v>
      </c>
      <c r="D7" s="859" t="s">
        <v>844</v>
      </c>
      <c r="E7" s="859" t="s">
        <v>845</v>
      </c>
      <c r="J7" t="s">
        <v>18</v>
      </c>
      <c r="Q7" s="859"/>
    </row>
    <row r="8" spans="1:20" x14ac:dyDescent="0.15">
      <c r="A8" s="931" t="s">
        <v>68</v>
      </c>
      <c r="B8" s="932">
        <f>SUM(B5:B7)</f>
        <v>724</v>
      </c>
      <c r="C8" s="305">
        <f>SUM(C5:C7)</f>
        <v>485</v>
      </c>
      <c r="D8" s="859" t="s">
        <v>844</v>
      </c>
      <c r="E8" s="859" t="s">
        <v>18</v>
      </c>
      <c r="R8" s="1"/>
    </row>
    <row r="9" spans="1:20" x14ac:dyDescent="0.15">
      <c r="A9" s="859"/>
      <c r="C9" s="859"/>
      <c r="D9" s="859"/>
      <c r="E9" s="859"/>
      <c r="G9" s="859" t="s">
        <v>18</v>
      </c>
      <c r="J9" s="859" t="s">
        <v>18</v>
      </c>
      <c r="N9" s="859"/>
      <c r="O9" s="859"/>
    </row>
    <row r="10" spans="1:20" x14ac:dyDescent="0.15">
      <c r="A10" s="859"/>
      <c r="B10" s="859" t="s">
        <v>853</v>
      </c>
      <c r="C10" s="859"/>
      <c r="D10" s="859"/>
      <c r="E10" s="859"/>
      <c r="J10" s="859" t="s">
        <v>18</v>
      </c>
      <c r="K10" t="s">
        <v>18</v>
      </c>
      <c r="O10" s="859"/>
      <c r="Q10" s="859" t="s">
        <v>18</v>
      </c>
    </row>
    <row r="11" spans="1:20" x14ac:dyDescent="0.15">
      <c r="A11" s="883" t="s">
        <v>842</v>
      </c>
      <c r="B11" s="859">
        <v>1116</v>
      </c>
      <c r="C11" s="859">
        <v>260</v>
      </c>
      <c r="D11" s="859" t="s">
        <v>844</v>
      </c>
      <c r="E11" s="859" t="s">
        <v>858</v>
      </c>
    </row>
    <row r="12" spans="1:20" x14ac:dyDescent="0.15">
      <c r="A12" s="859"/>
      <c r="B12" s="859">
        <v>578</v>
      </c>
      <c r="C12" s="859">
        <v>49</v>
      </c>
      <c r="D12" s="859" t="s">
        <v>844</v>
      </c>
      <c r="E12" s="859" t="s">
        <v>860</v>
      </c>
    </row>
    <row r="13" spans="1:20" x14ac:dyDescent="0.15">
      <c r="A13" s="859"/>
      <c r="B13" s="859">
        <v>517</v>
      </c>
      <c r="C13" s="859" t="s">
        <v>18</v>
      </c>
      <c r="D13" s="859" t="s">
        <v>844</v>
      </c>
      <c r="E13" s="859" t="s">
        <v>859</v>
      </c>
      <c r="F13" t="s">
        <v>970</v>
      </c>
    </row>
    <row r="14" spans="1:20" x14ac:dyDescent="0.15">
      <c r="A14" s="859"/>
      <c r="B14" s="859"/>
      <c r="C14" s="859">
        <v>296</v>
      </c>
      <c r="D14" s="983">
        <v>39692</v>
      </c>
      <c r="E14" s="859" t="s">
        <v>971</v>
      </c>
      <c r="M14" s="859" t="s">
        <v>18</v>
      </c>
    </row>
    <row r="15" spans="1:20" x14ac:dyDescent="0.15">
      <c r="A15" s="859"/>
      <c r="B15" s="859"/>
      <c r="C15" s="859">
        <v>93</v>
      </c>
      <c r="D15" s="983">
        <v>39692</v>
      </c>
      <c r="E15" s="859" t="s">
        <v>972</v>
      </c>
    </row>
    <row r="16" spans="1:20" x14ac:dyDescent="0.15">
      <c r="A16" s="859"/>
      <c r="B16" s="859"/>
      <c r="C16" s="859">
        <v>218</v>
      </c>
      <c r="D16" s="983">
        <v>39692</v>
      </c>
      <c r="E16" s="859" t="s">
        <v>973</v>
      </c>
      <c r="S16" t="s">
        <v>18</v>
      </c>
    </row>
    <row r="17" spans="1:21" x14ac:dyDescent="0.15">
      <c r="A17" s="859"/>
      <c r="B17" s="861" t="s">
        <v>975</v>
      </c>
      <c r="C17" s="859">
        <v>93</v>
      </c>
      <c r="D17" s="983">
        <v>39692</v>
      </c>
      <c r="E17" s="859" t="s">
        <v>974</v>
      </c>
    </row>
    <row r="18" spans="1:21" ht="14" thickBot="1" x14ac:dyDescent="0.2">
      <c r="A18" s="974" t="s">
        <v>68</v>
      </c>
      <c r="B18" s="974">
        <f>SUM(B11:B13)</f>
        <v>2211</v>
      </c>
      <c r="C18" s="982">
        <f>SUM(C11:C17)</f>
        <v>1009</v>
      </c>
      <c r="D18" s="177" t="s">
        <v>981</v>
      </c>
      <c r="E18" s="177"/>
      <c r="F18" s="34"/>
      <c r="G18" s="34"/>
      <c r="H18" s="34"/>
      <c r="I18" s="34"/>
      <c r="J18" s="34"/>
      <c r="R18" s="1"/>
    </row>
    <row r="19" spans="1:21" x14ac:dyDescent="0.15">
      <c r="A19" s="859"/>
      <c r="B19" s="305"/>
      <c r="C19" s="859"/>
      <c r="D19" s="859"/>
      <c r="E19" s="859" t="s">
        <v>18</v>
      </c>
      <c r="H19" s="859" t="s">
        <v>18</v>
      </c>
      <c r="O19" s="859"/>
    </row>
    <row r="20" spans="1:21" x14ac:dyDescent="0.15">
      <c r="A20" s="884" t="s">
        <v>409</v>
      </c>
      <c r="B20" s="931"/>
      <c r="C20" s="859"/>
      <c r="D20" s="859"/>
      <c r="E20" s="859"/>
      <c r="K20" s="1" t="s">
        <v>1002</v>
      </c>
      <c r="L20" s="1"/>
      <c r="M20" s="1"/>
      <c r="N20" s="1" t="s">
        <v>1004</v>
      </c>
      <c r="O20" s="1"/>
      <c r="P20" s="1"/>
      <c r="Q20" s="1" t="s">
        <v>1005</v>
      </c>
      <c r="R20" s="1"/>
      <c r="S20" s="1" t="s">
        <v>1006</v>
      </c>
      <c r="T20" s="1"/>
    </row>
    <row r="21" spans="1:21" x14ac:dyDescent="0.15">
      <c r="B21" s="859" t="s">
        <v>852</v>
      </c>
      <c r="E21" s="859" t="s">
        <v>18</v>
      </c>
      <c r="G21" s="859" t="s">
        <v>18</v>
      </c>
      <c r="K21" s="1"/>
      <c r="L21" s="1" t="s">
        <v>1003</v>
      </c>
      <c r="M21" s="1" t="s">
        <v>939</v>
      </c>
      <c r="N21" s="1" t="s">
        <v>937</v>
      </c>
      <c r="O21" s="1" t="s">
        <v>939</v>
      </c>
      <c r="P21" s="1"/>
      <c r="Q21" s="1"/>
      <c r="R21" s="1"/>
      <c r="S21" s="1" t="s">
        <v>937</v>
      </c>
      <c r="T21" s="1" t="s">
        <v>939</v>
      </c>
    </row>
    <row r="22" spans="1:21" x14ac:dyDescent="0.15">
      <c r="A22" s="859" t="s">
        <v>842</v>
      </c>
      <c r="B22" s="879">
        <v>1874</v>
      </c>
      <c r="C22" s="859">
        <v>250</v>
      </c>
      <c r="D22" s="859" t="s">
        <v>844</v>
      </c>
      <c r="E22" s="859" t="s">
        <v>846</v>
      </c>
      <c r="F22" s="859" t="s">
        <v>18</v>
      </c>
      <c r="L22">
        <v>0.56000000000000005</v>
      </c>
      <c r="M22">
        <v>0.9</v>
      </c>
      <c r="N22" s="992">
        <f>+B24/L22</f>
        <v>4839.2857142857138</v>
      </c>
      <c r="O22" s="992">
        <f>+B24/M22</f>
        <v>3011.1111111111109</v>
      </c>
      <c r="Q22" s="859">
        <v>4</v>
      </c>
      <c r="S22" s="994">
        <f>+Q22/L22</f>
        <v>7.1428571428571423</v>
      </c>
      <c r="T22" s="994">
        <f>+Q22/M22</f>
        <v>4.4444444444444446</v>
      </c>
    </row>
    <row r="23" spans="1:21" x14ac:dyDescent="0.15">
      <c r="A23" s="865" t="s">
        <v>842</v>
      </c>
      <c r="B23" s="963">
        <v>836</v>
      </c>
      <c r="C23" s="865">
        <v>235</v>
      </c>
      <c r="D23" s="865" t="s">
        <v>956</v>
      </c>
      <c r="E23" s="865" t="s">
        <v>847</v>
      </c>
      <c r="Q23" s="859"/>
      <c r="T23" s="859" t="s">
        <v>18</v>
      </c>
    </row>
    <row r="24" spans="1:21" x14ac:dyDescent="0.15">
      <c r="A24" s="931" t="s">
        <v>68</v>
      </c>
      <c r="B24" s="965">
        <f>SUM(B22:B23)</f>
        <v>2710</v>
      </c>
      <c r="C24" s="305">
        <f>SUM(C22:C23)</f>
        <v>485</v>
      </c>
      <c r="D24" s="859" t="s">
        <v>18</v>
      </c>
      <c r="R24" s="1"/>
    </row>
    <row r="25" spans="1:21" x14ac:dyDescent="0.15">
      <c r="A25" s="859"/>
      <c r="B25" s="1"/>
      <c r="D25" s="859"/>
      <c r="O25" s="859"/>
      <c r="U25" s="859" t="s">
        <v>18</v>
      </c>
    </row>
    <row r="26" spans="1:21" x14ac:dyDescent="0.15">
      <c r="A26" s="859" t="s">
        <v>18</v>
      </c>
      <c r="B26" s="859" t="s">
        <v>861</v>
      </c>
      <c r="D26" s="859" t="s">
        <v>18</v>
      </c>
      <c r="E26" s="859" t="s">
        <v>18</v>
      </c>
      <c r="G26" s="859" t="s">
        <v>18</v>
      </c>
      <c r="O26" s="859"/>
    </row>
    <row r="27" spans="1:21" x14ac:dyDescent="0.15">
      <c r="A27" s="859"/>
      <c r="B27" s="859" t="s">
        <v>18</v>
      </c>
      <c r="C27" s="882" t="s">
        <v>18</v>
      </c>
      <c r="D27" s="859"/>
      <c r="E27" s="859" t="s">
        <v>18</v>
      </c>
      <c r="F27" s="859" t="s">
        <v>18</v>
      </c>
      <c r="Q27" s="859"/>
    </row>
    <row r="28" spans="1:21" x14ac:dyDescent="0.15">
      <c r="A28" s="859"/>
      <c r="B28">
        <v>58</v>
      </c>
      <c r="C28">
        <v>132</v>
      </c>
      <c r="D28" s="983">
        <v>39692</v>
      </c>
      <c r="E28" s="859" t="s">
        <v>862</v>
      </c>
      <c r="F28" s="859"/>
      <c r="K28" t="s">
        <v>18</v>
      </c>
      <c r="Q28" s="859"/>
    </row>
    <row r="29" spans="1:21" x14ac:dyDescent="0.15">
      <c r="A29" s="859"/>
      <c r="C29">
        <v>368</v>
      </c>
      <c r="D29" s="983">
        <v>39692</v>
      </c>
      <c r="E29" s="859" t="s">
        <v>976</v>
      </c>
      <c r="F29" s="859"/>
      <c r="Q29" s="859"/>
    </row>
    <row r="30" spans="1:21" x14ac:dyDescent="0.15">
      <c r="A30" s="859"/>
      <c r="C30">
        <v>218</v>
      </c>
      <c r="D30" s="983">
        <v>39692</v>
      </c>
      <c r="E30" s="859" t="s">
        <v>973</v>
      </c>
      <c r="F30" s="859"/>
      <c r="H30" t="s">
        <v>18</v>
      </c>
      <c r="Q30" s="859"/>
    </row>
    <row r="31" spans="1:21" x14ac:dyDescent="0.15">
      <c r="A31" s="859"/>
      <c r="C31">
        <v>231</v>
      </c>
      <c r="D31" s="983">
        <v>39692</v>
      </c>
      <c r="E31" s="859" t="s">
        <v>977</v>
      </c>
      <c r="F31" s="859"/>
      <c r="Q31" s="859"/>
    </row>
    <row r="32" spans="1:21" x14ac:dyDescent="0.15">
      <c r="A32" s="859"/>
      <c r="C32">
        <v>2</v>
      </c>
      <c r="D32" s="983">
        <v>39692</v>
      </c>
      <c r="E32" s="859" t="s">
        <v>978</v>
      </c>
      <c r="F32" s="859"/>
      <c r="Q32" s="859"/>
    </row>
    <row r="33" spans="1:28" x14ac:dyDescent="0.15">
      <c r="A33" s="859"/>
      <c r="C33">
        <v>6</v>
      </c>
      <c r="D33" s="983">
        <v>39692</v>
      </c>
      <c r="E33" s="859" t="s">
        <v>979</v>
      </c>
      <c r="F33" s="859"/>
      <c r="Q33" s="859"/>
    </row>
    <row r="34" spans="1:28" x14ac:dyDescent="0.15">
      <c r="A34" s="859"/>
      <c r="C34">
        <v>6</v>
      </c>
      <c r="D34" s="983">
        <v>39692</v>
      </c>
      <c r="E34" s="859" t="s">
        <v>980</v>
      </c>
      <c r="F34" s="859"/>
      <c r="P34" t="s">
        <v>18</v>
      </c>
      <c r="Q34" s="859"/>
    </row>
    <row r="35" spans="1:28" x14ac:dyDescent="0.15">
      <c r="A35" s="859"/>
      <c r="C35">
        <v>31</v>
      </c>
      <c r="D35" s="983">
        <v>39692</v>
      </c>
      <c r="E35" s="859" t="s">
        <v>982</v>
      </c>
      <c r="F35" s="859"/>
      <c r="J35" s="859" t="s">
        <v>18</v>
      </c>
      <c r="Q35" s="859"/>
    </row>
    <row r="36" spans="1:28" x14ac:dyDescent="0.15">
      <c r="A36" s="859"/>
      <c r="C36">
        <v>8</v>
      </c>
      <c r="D36" s="983">
        <v>39692</v>
      </c>
      <c r="E36" s="859" t="s">
        <v>983</v>
      </c>
      <c r="F36" s="859"/>
      <c r="Q36" s="859"/>
    </row>
    <row r="37" spans="1:28" x14ac:dyDescent="0.15">
      <c r="A37" s="966" t="s">
        <v>68</v>
      </c>
      <c r="B37" s="967">
        <f>SUM(B28:B36)</f>
        <v>58</v>
      </c>
      <c r="C37" s="969">
        <f>SUM(C28:C36)</f>
        <v>1002</v>
      </c>
      <c r="D37" s="859"/>
      <c r="F37" s="859"/>
      <c r="Q37" s="859"/>
    </row>
    <row r="38" spans="1:28" x14ac:dyDescent="0.15">
      <c r="D38" s="859" t="s">
        <v>18</v>
      </c>
      <c r="E38" s="859"/>
      <c r="F38" s="859"/>
      <c r="G38" s="859" t="s">
        <v>18</v>
      </c>
      <c r="R38" s="1"/>
      <c r="S38" s="859"/>
    </row>
    <row r="39" spans="1:28" x14ac:dyDescent="0.15">
      <c r="A39" s="966"/>
      <c r="R39" s="859"/>
    </row>
    <row r="40" spans="1:28" x14ac:dyDescent="0.15">
      <c r="A40" s="966" t="s">
        <v>68</v>
      </c>
      <c r="B40" s="973">
        <v>1295</v>
      </c>
      <c r="C40" t="s">
        <v>18</v>
      </c>
      <c r="D40" s="865" t="s">
        <v>956</v>
      </c>
      <c r="E40" s="859" t="s">
        <v>847</v>
      </c>
      <c r="F40" s="859" t="s">
        <v>984</v>
      </c>
      <c r="G40" s="859" t="s">
        <v>18</v>
      </c>
      <c r="R40" s="859"/>
    </row>
    <row r="41" spans="1:28" x14ac:dyDescent="0.15">
      <c r="A41" s="966"/>
      <c r="B41" s="973">
        <v>2159</v>
      </c>
      <c r="C41" s="865" t="s">
        <v>18</v>
      </c>
      <c r="D41" s="859" t="s">
        <v>844</v>
      </c>
      <c r="E41" s="859" t="s">
        <v>959</v>
      </c>
      <c r="F41" t="s">
        <v>985</v>
      </c>
      <c r="Q41" s="859"/>
    </row>
    <row r="42" spans="1:28" x14ac:dyDescent="0.15">
      <c r="A42" s="966"/>
      <c r="B42" s="973"/>
      <c r="C42" s="979">
        <f>SUM(C40:C41)</f>
        <v>0</v>
      </c>
      <c r="D42" s="859"/>
      <c r="E42" s="859"/>
      <c r="R42" s="1"/>
      <c r="U42" s="859" t="s">
        <v>18</v>
      </c>
    </row>
    <row r="43" spans="1:28" x14ac:dyDescent="0.15">
      <c r="A43" s="966"/>
      <c r="B43" s="879"/>
      <c r="C43" s="964"/>
      <c r="D43" s="859"/>
      <c r="E43" s="859"/>
      <c r="Z43" s="859" t="s">
        <v>796</v>
      </c>
      <c r="AA43">
        <v>123</v>
      </c>
      <c r="AB43">
        <v>250</v>
      </c>
    </row>
    <row r="44" spans="1:28" x14ac:dyDescent="0.15">
      <c r="A44" s="976" t="s">
        <v>68</v>
      </c>
      <c r="B44" s="976">
        <v>7672</v>
      </c>
      <c r="C44" s="981">
        <v>98</v>
      </c>
      <c r="D44" s="984">
        <v>39692</v>
      </c>
      <c r="E44" s="170" t="s">
        <v>848</v>
      </c>
      <c r="R44" s="1"/>
      <c r="AA44">
        <v>127</v>
      </c>
    </row>
    <row r="45" spans="1:28" x14ac:dyDescent="0.15">
      <c r="A45" s="976"/>
      <c r="B45" s="976"/>
      <c r="C45" s="977"/>
      <c r="D45" s="170"/>
      <c r="E45" s="170"/>
      <c r="Z45" s="859" t="s">
        <v>965</v>
      </c>
      <c r="AA45">
        <v>115</v>
      </c>
    </row>
    <row r="46" spans="1:28" ht="14" thickBot="1" x14ac:dyDescent="0.2">
      <c r="A46" s="974" t="s">
        <v>18</v>
      </c>
      <c r="B46" s="978" t="s">
        <v>18</v>
      </c>
      <c r="C46" s="34" t="s">
        <v>18</v>
      </c>
      <c r="D46" s="34"/>
      <c r="E46" s="34"/>
      <c r="F46" s="34"/>
      <c r="G46" s="34"/>
      <c r="H46" s="34"/>
      <c r="I46" s="34"/>
      <c r="J46" s="34"/>
      <c r="AA46">
        <v>120</v>
      </c>
      <c r="AB46">
        <v>235</v>
      </c>
    </row>
    <row r="47" spans="1:28" x14ac:dyDescent="0.15">
      <c r="A47" s="859"/>
      <c r="C47" s="782"/>
      <c r="D47" s="859"/>
      <c r="E47" s="859"/>
      <c r="M47" s="859" t="s">
        <v>18</v>
      </c>
      <c r="N47" s="859" t="s">
        <v>18</v>
      </c>
      <c r="P47" s="859" t="s">
        <v>18</v>
      </c>
    </row>
    <row r="48" spans="1:28" x14ac:dyDescent="0.15">
      <c r="A48" s="884" t="s">
        <v>405</v>
      </c>
      <c r="D48" s="859"/>
      <c r="K48" s="993" t="s">
        <v>1002</v>
      </c>
      <c r="L48" s="993"/>
      <c r="M48" s="993"/>
      <c r="N48" s="993" t="s">
        <v>1004</v>
      </c>
      <c r="O48" s="993"/>
      <c r="P48" s="993"/>
      <c r="Q48" s="993" t="s">
        <v>1005</v>
      </c>
      <c r="R48" s="993"/>
      <c r="S48" s="993" t="s">
        <v>1006</v>
      </c>
      <c r="T48" s="993"/>
    </row>
    <row r="49" spans="1:20" x14ac:dyDescent="0.15">
      <c r="B49" t="s">
        <v>852</v>
      </c>
      <c r="K49" s="993"/>
      <c r="L49" s="993" t="s">
        <v>1003</v>
      </c>
      <c r="M49" s="993" t="s">
        <v>939</v>
      </c>
      <c r="N49" s="993" t="s">
        <v>937</v>
      </c>
      <c r="O49" s="993" t="s">
        <v>939</v>
      </c>
      <c r="P49" s="993"/>
      <c r="Q49" s="993"/>
      <c r="R49" s="993"/>
      <c r="S49" s="993" t="s">
        <v>937</v>
      </c>
      <c r="T49" s="993" t="s">
        <v>939</v>
      </c>
    </row>
    <row r="50" spans="1:20" x14ac:dyDescent="0.15">
      <c r="A50" s="931" t="s">
        <v>68</v>
      </c>
      <c r="B50" s="932">
        <v>51</v>
      </c>
      <c r="C50" s="979">
        <v>29</v>
      </c>
      <c r="D50" s="880" t="s">
        <v>849</v>
      </c>
      <c r="E50">
        <v>295</v>
      </c>
      <c r="F50" s="859"/>
      <c r="L50">
        <v>0.35</v>
      </c>
      <c r="M50">
        <v>0.56000000000000005</v>
      </c>
      <c r="N50" s="992">
        <f>+B50/L50</f>
        <v>145.71428571428572</v>
      </c>
      <c r="O50" s="992">
        <f>+B50/M50</f>
        <v>91.071428571428569</v>
      </c>
      <c r="Q50">
        <v>4</v>
      </c>
      <c r="S50" s="994">
        <f>+Q50/L50</f>
        <v>11.428571428571429</v>
      </c>
      <c r="T50" s="994">
        <f>+Q50/M50</f>
        <v>7.1428571428571423</v>
      </c>
    </row>
    <row r="51" spans="1:20" x14ac:dyDescent="0.15">
      <c r="L51" s="859" t="s">
        <v>18</v>
      </c>
    </row>
    <row r="52" spans="1:20" x14ac:dyDescent="0.15">
      <c r="B52" t="s">
        <v>853</v>
      </c>
      <c r="E52" t="s">
        <v>18</v>
      </c>
      <c r="F52" t="s">
        <v>18</v>
      </c>
      <c r="O52" t="s">
        <v>18</v>
      </c>
    </row>
    <row r="53" spans="1:20" x14ac:dyDescent="0.15">
      <c r="B53">
        <v>17</v>
      </c>
      <c r="C53" s="859" t="s">
        <v>18</v>
      </c>
      <c r="D53" s="880" t="s">
        <v>855</v>
      </c>
      <c r="E53">
        <v>295</v>
      </c>
      <c r="F53" t="s">
        <v>854</v>
      </c>
    </row>
    <row r="54" spans="1:20" x14ac:dyDescent="0.15">
      <c r="B54">
        <v>58</v>
      </c>
      <c r="C54">
        <v>47</v>
      </c>
      <c r="D54" s="880" t="s">
        <v>849</v>
      </c>
      <c r="E54">
        <v>260</v>
      </c>
      <c r="F54" t="s">
        <v>848</v>
      </c>
    </row>
    <row r="55" spans="1:20" x14ac:dyDescent="0.15">
      <c r="B55">
        <v>142</v>
      </c>
      <c r="C55">
        <v>69</v>
      </c>
      <c r="D55" s="880" t="s">
        <v>849</v>
      </c>
      <c r="E55">
        <v>390</v>
      </c>
      <c r="F55" t="s">
        <v>854</v>
      </c>
      <c r="O55" s="859" t="s">
        <v>18</v>
      </c>
    </row>
    <row r="56" spans="1:20" x14ac:dyDescent="0.15">
      <c r="B56">
        <v>119</v>
      </c>
      <c r="C56">
        <v>73</v>
      </c>
      <c r="D56" s="880" t="s">
        <v>849</v>
      </c>
      <c r="E56">
        <v>391</v>
      </c>
      <c r="F56" t="s">
        <v>854</v>
      </c>
      <c r="Q56" s="859" t="s">
        <v>18</v>
      </c>
    </row>
    <row r="57" spans="1:20" x14ac:dyDescent="0.15">
      <c r="B57">
        <v>3</v>
      </c>
      <c r="C57">
        <v>3</v>
      </c>
      <c r="D57" s="881">
        <v>39589</v>
      </c>
      <c r="E57">
        <v>397</v>
      </c>
      <c r="F57" t="s">
        <v>854</v>
      </c>
    </row>
    <row r="58" spans="1:20" x14ac:dyDescent="0.15">
      <c r="B58">
        <v>108</v>
      </c>
      <c r="C58">
        <v>64</v>
      </c>
      <c r="D58" s="880" t="s">
        <v>849</v>
      </c>
      <c r="E58" t="s">
        <v>856</v>
      </c>
      <c r="F58" t="s">
        <v>854</v>
      </c>
    </row>
    <row r="59" spans="1:20" x14ac:dyDescent="0.15">
      <c r="B59">
        <v>5</v>
      </c>
      <c r="C59">
        <v>8</v>
      </c>
      <c r="D59" s="880" t="s">
        <v>849</v>
      </c>
      <c r="E59" t="s">
        <v>857</v>
      </c>
      <c r="F59" t="s">
        <v>854</v>
      </c>
    </row>
    <row r="60" spans="1:20" x14ac:dyDescent="0.15">
      <c r="A60" s="966" t="s">
        <v>68</v>
      </c>
      <c r="B60" s="966">
        <f>SUM(B53:B59)</f>
        <v>452</v>
      </c>
      <c r="C60" s="979">
        <f>SUM(C53:C59)</f>
        <v>264</v>
      </c>
    </row>
    <row r="61" spans="1:20" x14ac:dyDescent="0.15">
      <c r="A61" s="966"/>
      <c r="B61" s="305"/>
      <c r="C61" s="305"/>
    </row>
    <row r="62" spans="1:20" ht="14" thickBot="1" x14ac:dyDescent="0.2">
      <c r="A62" s="974" t="s">
        <v>68</v>
      </c>
      <c r="B62" s="974">
        <v>860</v>
      </c>
      <c r="C62" s="987">
        <v>70</v>
      </c>
      <c r="D62" s="197"/>
      <c r="E62" s="177" t="s">
        <v>848</v>
      </c>
      <c r="F62" s="34"/>
      <c r="G62" s="34"/>
      <c r="H62" s="34"/>
      <c r="I62" s="34"/>
      <c r="J62" s="34"/>
    </row>
    <row r="63" spans="1:20" x14ac:dyDescent="0.15">
      <c r="D63" s="782"/>
    </row>
    <row r="64" spans="1:20" x14ac:dyDescent="0.15">
      <c r="A64" s="884" t="s">
        <v>404</v>
      </c>
      <c r="B64" s="859" t="s">
        <v>852</v>
      </c>
      <c r="D64" s="782"/>
      <c r="K64" s="1" t="s">
        <v>1002</v>
      </c>
      <c r="L64" s="1"/>
      <c r="M64" s="1"/>
      <c r="N64" s="1" t="s">
        <v>1004</v>
      </c>
      <c r="O64" s="1"/>
      <c r="P64" s="1"/>
      <c r="Q64" s="993" t="s">
        <v>1005</v>
      </c>
      <c r="R64" s="993"/>
      <c r="S64" s="993" t="s">
        <v>1006</v>
      </c>
      <c r="T64" s="993"/>
    </row>
    <row r="65" spans="1:20" x14ac:dyDescent="0.15">
      <c r="B65">
        <v>26</v>
      </c>
      <c r="C65" s="859">
        <v>15</v>
      </c>
      <c r="D65" s="990">
        <v>39692</v>
      </c>
      <c r="E65">
        <v>89</v>
      </c>
      <c r="F65" s="859" t="s">
        <v>986</v>
      </c>
      <c r="K65" s="1"/>
      <c r="L65" s="1" t="s">
        <v>1003</v>
      </c>
      <c r="M65" s="1" t="s">
        <v>939</v>
      </c>
      <c r="N65" s="1" t="s">
        <v>937</v>
      </c>
      <c r="O65" s="1" t="s">
        <v>939</v>
      </c>
      <c r="P65" s="1"/>
      <c r="Q65" s="993"/>
      <c r="R65" s="993"/>
      <c r="S65" s="993" t="s">
        <v>937</v>
      </c>
      <c r="T65" s="993" t="s">
        <v>939</v>
      </c>
    </row>
    <row r="66" spans="1:20" x14ac:dyDescent="0.15">
      <c r="B66" s="865">
        <v>31</v>
      </c>
      <c r="C66" s="865">
        <v>59</v>
      </c>
      <c r="D66" s="971">
        <v>2007</v>
      </c>
      <c r="E66" s="865" t="s">
        <v>863</v>
      </c>
      <c r="F66" s="859" t="s">
        <v>991</v>
      </c>
      <c r="L66">
        <v>0.31</v>
      </c>
      <c r="M66">
        <v>0.49</v>
      </c>
      <c r="N66" s="992">
        <f>+B67/L66</f>
        <v>183.87096774193549</v>
      </c>
      <c r="O66" s="992">
        <f>+B67/M66</f>
        <v>116.32653061224489</v>
      </c>
      <c r="Q66">
        <v>3</v>
      </c>
      <c r="S66" s="994">
        <f>+Q66/L66</f>
        <v>9.67741935483871</v>
      </c>
      <c r="T66" s="994">
        <f>+Q66/M66</f>
        <v>6.1224489795918364</v>
      </c>
    </row>
    <row r="67" spans="1:20" x14ac:dyDescent="0.15">
      <c r="A67" s="931" t="s">
        <v>68</v>
      </c>
      <c r="B67" s="979">
        <f>SUM(B65:B66)</f>
        <v>57</v>
      </c>
      <c r="C67" s="979">
        <f>SUM(C65:C66)</f>
        <v>74</v>
      </c>
      <c r="D67" s="970" t="s">
        <v>18</v>
      </c>
      <c r="E67" s="865"/>
      <c r="F67" s="859"/>
      <c r="G67" s="859" t="s">
        <v>18</v>
      </c>
      <c r="H67" s="859" t="s">
        <v>18</v>
      </c>
      <c r="N67" s="863"/>
      <c r="O67" s="863"/>
    </row>
    <row r="68" spans="1:20" x14ac:dyDescent="0.15">
      <c r="A68" s="859" t="s">
        <v>18</v>
      </c>
      <c r="C68" t="s">
        <v>18</v>
      </c>
      <c r="D68" s="782"/>
      <c r="H68" s="859" t="s">
        <v>18</v>
      </c>
    </row>
    <row r="69" spans="1:20" x14ac:dyDescent="0.15">
      <c r="B69" s="859" t="s">
        <v>864</v>
      </c>
      <c r="D69" s="782"/>
      <c r="H69" s="859" t="s">
        <v>18</v>
      </c>
      <c r="I69" s="859" t="s">
        <v>18</v>
      </c>
    </row>
    <row r="70" spans="1:20" x14ac:dyDescent="0.15">
      <c r="B70" s="859">
        <v>34</v>
      </c>
      <c r="C70" s="859" t="s">
        <v>18</v>
      </c>
      <c r="D70" s="990">
        <v>39692</v>
      </c>
      <c r="E70">
        <v>89</v>
      </c>
      <c r="F70" s="859" t="s">
        <v>986</v>
      </c>
      <c r="K70" t="s">
        <v>18</v>
      </c>
    </row>
    <row r="71" spans="1:20" x14ac:dyDescent="0.15">
      <c r="B71" s="865">
        <v>137</v>
      </c>
      <c r="C71" s="865">
        <v>49</v>
      </c>
      <c r="D71" s="968">
        <v>2007</v>
      </c>
      <c r="E71" s="865" t="s">
        <v>863</v>
      </c>
      <c r="F71" s="859" t="s">
        <v>990</v>
      </c>
    </row>
    <row r="72" spans="1:20" x14ac:dyDescent="0.15">
      <c r="B72" s="865"/>
      <c r="C72" s="865">
        <v>31</v>
      </c>
      <c r="D72" s="986">
        <v>39692</v>
      </c>
      <c r="E72" s="865" t="s">
        <v>989</v>
      </c>
    </row>
    <row r="73" spans="1:20" x14ac:dyDescent="0.15">
      <c r="B73" s="865"/>
      <c r="C73" s="865">
        <v>12</v>
      </c>
      <c r="D73" s="986">
        <v>39692</v>
      </c>
      <c r="E73" s="865" t="s">
        <v>987</v>
      </c>
    </row>
    <row r="74" spans="1:20" x14ac:dyDescent="0.15">
      <c r="B74" s="865"/>
      <c r="C74" s="865">
        <v>8</v>
      </c>
      <c r="D74" s="986">
        <v>39692</v>
      </c>
      <c r="E74" s="865" t="s">
        <v>988</v>
      </c>
      <c r="I74" s="859" t="s">
        <v>18</v>
      </c>
      <c r="Q74" s="859" t="s">
        <v>18</v>
      </c>
    </row>
    <row r="75" spans="1:20" x14ac:dyDescent="0.15">
      <c r="B75" s="865"/>
      <c r="C75" s="865">
        <v>173</v>
      </c>
      <c r="D75" s="986">
        <v>39692</v>
      </c>
      <c r="E75">
        <v>22</v>
      </c>
    </row>
    <row r="76" spans="1:20" x14ac:dyDescent="0.15">
      <c r="B76" s="865"/>
      <c r="C76" s="865">
        <v>108</v>
      </c>
      <c r="D76" s="986">
        <v>39692</v>
      </c>
      <c r="E76" s="865">
        <v>522</v>
      </c>
    </row>
    <row r="77" spans="1:20" x14ac:dyDescent="0.15">
      <c r="B77" s="865"/>
      <c r="C77" s="865">
        <v>4</v>
      </c>
      <c r="D77" s="986">
        <v>39692</v>
      </c>
      <c r="E77" s="865">
        <v>182</v>
      </c>
    </row>
    <row r="78" spans="1:20" x14ac:dyDescent="0.15">
      <c r="B78" s="865"/>
      <c r="C78" s="865">
        <v>6</v>
      </c>
      <c r="D78" s="986">
        <v>39692</v>
      </c>
      <c r="E78" s="980">
        <v>104</v>
      </c>
      <c r="I78" s="859" t="s">
        <v>18</v>
      </c>
    </row>
    <row r="79" spans="1:20" x14ac:dyDescent="0.15">
      <c r="B79" s="865"/>
      <c r="C79" s="865">
        <v>64</v>
      </c>
      <c r="D79" s="986">
        <v>39692</v>
      </c>
      <c r="E79" s="985" t="s">
        <v>856</v>
      </c>
    </row>
    <row r="80" spans="1:20" x14ac:dyDescent="0.15">
      <c r="A80" s="966" t="s">
        <v>68</v>
      </c>
      <c r="B80" s="969">
        <f>SUM(B70:B71)</f>
        <v>171</v>
      </c>
      <c r="C80" s="979">
        <f>SUM(C71:C79)</f>
        <v>455</v>
      </c>
      <c r="M80" s="859" t="s">
        <v>18</v>
      </c>
    </row>
    <row r="81" spans="1:20" x14ac:dyDescent="0.15">
      <c r="D81" s="968"/>
      <c r="J81" s="859" t="s">
        <v>18</v>
      </c>
    </row>
    <row r="82" spans="1:20" x14ac:dyDescent="0.15">
      <c r="B82" s="964"/>
      <c r="C82" s="964"/>
      <c r="D82" s="968"/>
      <c r="G82" s="859" t="s">
        <v>18</v>
      </c>
    </row>
    <row r="83" spans="1:20" ht="14" thickBot="1" x14ac:dyDescent="0.2">
      <c r="A83" s="974" t="s">
        <v>18</v>
      </c>
      <c r="B83" s="987">
        <v>825</v>
      </c>
      <c r="C83" s="987">
        <v>60</v>
      </c>
      <c r="D83" s="991">
        <v>39692</v>
      </c>
      <c r="E83" s="177" t="s">
        <v>848</v>
      </c>
      <c r="F83" s="34"/>
      <c r="G83" s="34"/>
      <c r="H83" s="34"/>
      <c r="I83" s="34"/>
      <c r="J83" s="34"/>
    </row>
    <row r="84" spans="1:20" x14ac:dyDescent="0.15">
      <c r="D84" s="782"/>
      <c r="E84" s="859"/>
    </row>
    <row r="85" spans="1:20" x14ac:dyDescent="0.15">
      <c r="A85" s="884" t="s">
        <v>400</v>
      </c>
      <c r="B85" s="859" t="s">
        <v>852</v>
      </c>
      <c r="C85" s="859" t="s">
        <v>18</v>
      </c>
      <c r="E85" s="859" t="s">
        <v>865</v>
      </c>
      <c r="K85" s="1" t="s">
        <v>1002</v>
      </c>
      <c r="L85" s="1"/>
      <c r="M85" s="1"/>
      <c r="N85" s="1" t="s">
        <v>1004</v>
      </c>
      <c r="O85" s="1"/>
      <c r="Q85" s="993" t="s">
        <v>1005</v>
      </c>
      <c r="R85" s="993"/>
      <c r="S85" s="993" t="s">
        <v>1006</v>
      </c>
      <c r="T85" s="993"/>
    </row>
    <row r="86" spans="1:20" x14ac:dyDescent="0.15">
      <c r="B86" s="859">
        <v>58</v>
      </c>
      <c r="C86">
        <v>41</v>
      </c>
      <c r="D86" s="990">
        <v>39692</v>
      </c>
      <c r="E86">
        <v>51</v>
      </c>
      <c r="F86" s="859" t="s">
        <v>986</v>
      </c>
      <c r="K86" s="1"/>
      <c r="L86" s="1" t="s">
        <v>1003</v>
      </c>
      <c r="M86" s="1" t="s">
        <v>939</v>
      </c>
      <c r="N86" s="1" t="s">
        <v>937</v>
      </c>
      <c r="O86" s="1" t="s">
        <v>939</v>
      </c>
      <c r="Q86" s="993"/>
      <c r="R86" s="993"/>
      <c r="S86" s="993" t="s">
        <v>937</v>
      </c>
      <c r="T86" s="993" t="s">
        <v>939</v>
      </c>
    </row>
    <row r="87" spans="1:20" x14ac:dyDescent="0.15">
      <c r="B87" s="859">
        <v>94</v>
      </c>
      <c r="C87">
        <v>38</v>
      </c>
      <c r="D87" s="990">
        <v>39692</v>
      </c>
      <c r="E87">
        <v>52</v>
      </c>
      <c r="F87" s="859" t="s">
        <v>986</v>
      </c>
      <c r="L87">
        <v>0.52</v>
      </c>
      <c r="M87">
        <v>0.84</v>
      </c>
      <c r="N87" s="992">
        <f>+B90/L87</f>
        <v>413.46153846153845</v>
      </c>
      <c r="O87" s="992">
        <f>+B90/M87</f>
        <v>255.95238095238096</v>
      </c>
      <c r="Q87">
        <v>3</v>
      </c>
      <c r="S87" s="994">
        <f>+Q87/L87</f>
        <v>5.7692307692307692</v>
      </c>
      <c r="T87" s="994">
        <f>+Q87/M87</f>
        <v>3.5714285714285716</v>
      </c>
    </row>
    <row r="88" spans="1:20" x14ac:dyDescent="0.15">
      <c r="B88" s="859">
        <v>2</v>
      </c>
      <c r="C88">
        <v>12</v>
      </c>
      <c r="D88" s="990">
        <v>39692</v>
      </c>
      <c r="E88">
        <v>34</v>
      </c>
      <c r="F88" s="859" t="s">
        <v>986</v>
      </c>
    </row>
    <row r="89" spans="1:20" x14ac:dyDescent="0.15">
      <c r="B89" s="859">
        <v>61</v>
      </c>
      <c r="C89">
        <v>54</v>
      </c>
      <c r="D89" s="990">
        <v>39692</v>
      </c>
      <c r="E89">
        <v>35</v>
      </c>
      <c r="F89" s="859" t="s">
        <v>986</v>
      </c>
    </row>
    <row r="90" spans="1:20" x14ac:dyDescent="0.15">
      <c r="A90" s="931" t="s">
        <v>68</v>
      </c>
      <c r="B90" s="932">
        <f>SUM(B86:B89)</f>
        <v>215</v>
      </c>
      <c r="C90" s="979">
        <f>SUM(C86:C89)</f>
        <v>145</v>
      </c>
      <c r="D90" s="782"/>
      <c r="E90" s="782"/>
    </row>
    <row r="92" spans="1:20" x14ac:dyDescent="0.15">
      <c r="B92" s="859" t="s">
        <v>864</v>
      </c>
      <c r="C92" s="859" t="s">
        <v>18</v>
      </c>
      <c r="D92" s="859" t="s">
        <v>18</v>
      </c>
      <c r="R92" s="859" t="s">
        <v>18</v>
      </c>
    </row>
    <row r="93" spans="1:20" x14ac:dyDescent="0.15">
      <c r="A93" s="966" t="s">
        <v>68</v>
      </c>
      <c r="B93" s="966">
        <v>320</v>
      </c>
      <c r="C93" s="967">
        <v>289</v>
      </c>
      <c r="E93" s="859" t="s">
        <v>868</v>
      </c>
      <c r="F93" s="859" t="s">
        <v>866</v>
      </c>
      <c r="G93" s="859" t="s">
        <v>992</v>
      </c>
      <c r="K93" s="859" t="s">
        <v>18</v>
      </c>
    </row>
    <row r="94" spans="1:20" x14ac:dyDescent="0.15">
      <c r="B94" s="966" t="s">
        <v>18</v>
      </c>
      <c r="C94" s="967"/>
      <c r="E94" s="859"/>
      <c r="F94" s="859"/>
      <c r="G94" s="859"/>
      <c r="K94" s="859"/>
    </row>
    <row r="95" spans="1:20" x14ac:dyDescent="0.15">
      <c r="A95" s="966" t="s">
        <v>68</v>
      </c>
      <c r="B95" s="966">
        <v>887</v>
      </c>
      <c r="C95" s="967">
        <v>111</v>
      </c>
      <c r="D95" s="859" t="s">
        <v>18</v>
      </c>
      <c r="E95" s="859" t="s">
        <v>867</v>
      </c>
      <c r="F95" s="859" t="s">
        <v>866</v>
      </c>
    </row>
    <row r="96" spans="1:20" x14ac:dyDescent="0.15">
      <c r="A96" s="966" t="s">
        <v>18</v>
      </c>
      <c r="B96" s="966" t="s">
        <v>18</v>
      </c>
      <c r="C96" s="966" t="s">
        <v>18</v>
      </c>
      <c r="E96" s="859" t="s">
        <v>18</v>
      </c>
      <c r="F96" s="859" t="s">
        <v>18</v>
      </c>
    </row>
    <row r="97" spans="1:20" x14ac:dyDescent="0.15">
      <c r="A97" s="966"/>
      <c r="B97" s="966"/>
      <c r="C97" s="964"/>
      <c r="E97" s="859"/>
      <c r="F97" s="859"/>
    </row>
    <row r="98" spans="1:20" ht="14" thickBot="1" x14ac:dyDescent="0.2">
      <c r="A98" s="974" t="s">
        <v>68</v>
      </c>
      <c r="B98" s="974">
        <v>2999</v>
      </c>
      <c r="C98" s="987">
        <v>86</v>
      </c>
      <c r="D98" s="34"/>
      <c r="E98" s="177" t="s">
        <v>848</v>
      </c>
      <c r="F98" s="177" t="s">
        <v>866</v>
      </c>
      <c r="G98" s="34"/>
      <c r="H98" s="34"/>
      <c r="I98" s="34"/>
      <c r="J98" s="34"/>
    </row>
    <row r="99" spans="1:20" x14ac:dyDescent="0.15">
      <c r="B99" s="859"/>
      <c r="C99" s="964"/>
      <c r="E99" s="859"/>
      <c r="F99" s="859"/>
    </row>
    <row r="100" spans="1:20" x14ac:dyDescent="0.15">
      <c r="A100" s="884" t="s">
        <v>408</v>
      </c>
      <c r="B100" s="865" t="s">
        <v>852</v>
      </c>
      <c r="C100" s="782"/>
      <c r="D100" s="865" t="s">
        <v>18</v>
      </c>
      <c r="E100" s="782"/>
      <c r="K100" s="1" t="s">
        <v>1002</v>
      </c>
      <c r="L100" s="1"/>
      <c r="M100" s="1"/>
      <c r="N100" s="1" t="s">
        <v>1004</v>
      </c>
      <c r="O100" s="1"/>
      <c r="Q100" s="993" t="s">
        <v>1005</v>
      </c>
      <c r="R100" s="993"/>
      <c r="S100" s="993" t="s">
        <v>1006</v>
      </c>
      <c r="T100" s="993"/>
    </row>
    <row r="101" spans="1:20" x14ac:dyDescent="0.15">
      <c r="B101" s="782">
        <v>128</v>
      </c>
      <c r="C101" s="865">
        <v>352</v>
      </c>
      <c r="D101" s="865" t="s">
        <v>18</v>
      </c>
      <c r="E101" s="865" t="s">
        <v>1000</v>
      </c>
      <c r="F101" s="859" t="s">
        <v>1001</v>
      </c>
      <c r="K101" s="1"/>
      <c r="L101" s="1" t="s">
        <v>1003</v>
      </c>
      <c r="M101" s="1" t="s">
        <v>939</v>
      </c>
      <c r="N101" s="1" t="s">
        <v>937</v>
      </c>
      <c r="O101" s="1" t="s">
        <v>939</v>
      </c>
      <c r="Q101" s="993"/>
      <c r="R101" s="993"/>
      <c r="S101" s="993" t="s">
        <v>937</v>
      </c>
      <c r="T101" s="993" t="s">
        <v>939</v>
      </c>
    </row>
    <row r="102" spans="1:20" x14ac:dyDescent="0.15">
      <c r="A102" s="931" t="s">
        <v>68</v>
      </c>
      <c r="B102" s="964">
        <f>+B101</f>
        <v>128</v>
      </c>
      <c r="C102" s="969">
        <f>+C101</f>
        <v>352</v>
      </c>
      <c r="D102" s="865" t="s">
        <v>18</v>
      </c>
      <c r="E102" s="865" t="s">
        <v>18</v>
      </c>
      <c r="L102">
        <v>0.43</v>
      </c>
      <c r="M102">
        <v>0.69</v>
      </c>
      <c r="N102" s="992">
        <f>+B102/L102</f>
        <v>297.67441860465118</v>
      </c>
      <c r="O102" s="992">
        <f>+B102/M102</f>
        <v>185.50724637681162</v>
      </c>
      <c r="Q102">
        <v>5</v>
      </c>
      <c r="S102" s="994">
        <f>+Q102/L102</f>
        <v>11.627906976744185</v>
      </c>
      <c r="T102" s="994">
        <f>+Q102/M102</f>
        <v>7.2463768115942031</v>
      </c>
    </row>
    <row r="103" spans="1:20" x14ac:dyDescent="0.15">
      <c r="B103" s="989" t="s">
        <v>18</v>
      </c>
      <c r="C103" s="964" t="s">
        <v>18</v>
      </c>
      <c r="D103" s="865" t="s">
        <v>18</v>
      </c>
      <c r="E103" s="782"/>
    </row>
    <row r="104" spans="1:20" x14ac:dyDescent="0.15">
      <c r="B104" s="865" t="s">
        <v>864</v>
      </c>
      <c r="C104" s="964"/>
      <c r="D104" s="782"/>
      <c r="E104" s="782"/>
      <c r="F104" s="782"/>
      <c r="K104" s="859" t="s">
        <v>18</v>
      </c>
    </row>
    <row r="105" spans="1:20" x14ac:dyDescent="0.15">
      <c r="B105" s="865"/>
      <c r="C105" s="865">
        <v>6</v>
      </c>
      <c r="D105" s="865" t="s">
        <v>994</v>
      </c>
      <c r="E105" s="782"/>
      <c r="F105" s="782"/>
      <c r="K105" s="859"/>
    </row>
    <row r="106" spans="1:20" x14ac:dyDescent="0.15">
      <c r="B106" s="865"/>
      <c r="C106" s="865">
        <v>14</v>
      </c>
      <c r="D106" s="865" t="s">
        <v>995</v>
      </c>
      <c r="E106" s="782"/>
      <c r="F106" s="782"/>
      <c r="K106" s="859"/>
    </row>
    <row r="107" spans="1:20" x14ac:dyDescent="0.15">
      <c r="B107" s="865"/>
      <c r="C107" s="865">
        <v>117</v>
      </c>
      <c r="D107" s="865">
        <v>64</v>
      </c>
      <c r="E107" s="782"/>
      <c r="F107" s="782"/>
      <c r="K107" s="859"/>
    </row>
    <row r="108" spans="1:20" x14ac:dyDescent="0.15">
      <c r="B108" s="865"/>
      <c r="C108" s="865">
        <v>26</v>
      </c>
      <c r="D108" s="865">
        <v>65</v>
      </c>
      <c r="E108" s="782"/>
      <c r="F108" s="782"/>
      <c r="K108" s="859"/>
    </row>
    <row r="109" spans="1:20" x14ac:dyDescent="0.15">
      <c r="B109" s="865"/>
      <c r="C109" s="865">
        <v>101</v>
      </c>
      <c r="D109" s="865">
        <v>68</v>
      </c>
      <c r="E109" s="782"/>
      <c r="F109" s="782"/>
      <c r="K109" s="859"/>
    </row>
    <row r="110" spans="1:20" x14ac:dyDescent="0.15">
      <c r="B110" s="865"/>
      <c r="C110" s="865">
        <v>16</v>
      </c>
      <c r="D110" s="865">
        <v>168</v>
      </c>
      <c r="E110" s="782"/>
      <c r="F110" s="782"/>
      <c r="K110" s="859"/>
    </row>
    <row r="111" spans="1:20" x14ac:dyDescent="0.15">
      <c r="B111" s="865"/>
      <c r="C111" s="865">
        <v>73</v>
      </c>
      <c r="D111" s="865">
        <v>180</v>
      </c>
      <c r="E111" s="782"/>
      <c r="F111" s="782"/>
      <c r="K111" s="859"/>
    </row>
    <row r="112" spans="1:20" x14ac:dyDescent="0.15">
      <c r="B112" s="865"/>
      <c r="C112" s="865">
        <v>45</v>
      </c>
      <c r="D112" s="865">
        <v>181</v>
      </c>
      <c r="E112" s="782"/>
      <c r="F112" s="782"/>
      <c r="K112" s="859"/>
    </row>
    <row r="113" spans="1:11" x14ac:dyDescent="0.15">
      <c r="B113" s="865" t="s">
        <v>18</v>
      </c>
      <c r="C113" s="865">
        <v>85</v>
      </c>
      <c r="D113" s="988" t="s">
        <v>997</v>
      </c>
      <c r="E113" s="782"/>
      <c r="F113" s="782"/>
      <c r="K113" s="859"/>
    </row>
    <row r="114" spans="1:11" x14ac:dyDescent="0.15">
      <c r="B114" s="865"/>
      <c r="C114" s="865">
        <v>1</v>
      </c>
      <c r="D114" s="988" t="s">
        <v>998</v>
      </c>
      <c r="E114" s="782"/>
      <c r="F114" s="782"/>
      <c r="H114" s="859" t="s">
        <v>18</v>
      </c>
      <c r="K114" s="859"/>
    </row>
    <row r="115" spans="1:11" x14ac:dyDescent="0.15">
      <c r="A115" s="966" t="s">
        <v>68</v>
      </c>
      <c r="B115" s="865"/>
      <c r="C115" s="969">
        <f>SUM(C105:C114)</f>
        <v>484</v>
      </c>
      <c r="D115" s="865"/>
      <c r="E115" s="782"/>
      <c r="F115" s="782"/>
      <c r="K115" s="859"/>
    </row>
    <row r="116" spans="1:11" x14ac:dyDescent="0.15">
      <c r="B116" s="865"/>
      <c r="C116" s="964"/>
      <c r="D116" s="782"/>
      <c r="E116" s="782"/>
      <c r="F116" s="782"/>
      <c r="K116" s="859"/>
    </row>
    <row r="117" spans="1:11" x14ac:dyDescent="0.15">
      <c r="A117" s="966" t="s">
        <v>68</v>
      </c>
      <c r="B117" s="782"/>
      <c r="C117" s="969">
        <v>116</v>
      </c>
      <c r="D117" s="865" t="s">
        <v>869</v>
      </c>
      <c r="F117" s="782"/>
    </row>
    <row r="118" spans="1:11" x14ac:dyDescent="0.15">
      <c r="A118" s="966"/>
      <c r="B118" s="972"/>
      <c r="C118" s="964"/>
      <c r="D118" s="865"/>
      <c r="F118" s="782"/>
    </row>
    <row r="119" spans="1:11" x14ac:dyDescent="0.15">
      <c r="A119" s="966" t="s">
        <v>18</v>
      </c>
      <c r="B119" s="967">
        <v>2422</v>
      </c>
      <c r="C119" s="865">
        <v>98</v>
      </c>
      <c r="D119" s="865" t="s">
        <v>848</v>
      </c>
      <c r="F119" s="782"/>
    </row>
    <row r="120" spans="1:11" x14ac:dyDescent="0.15">
      <c r="A120" s="966" t="s">
        <v>18</v>
      </c>
      <c r="B120" s="782"/>
      <c r="C120" s="782">
        <v>8</v>
      </c>
      <c r="D120" s="865" t="s">
        <v>957</v>
      </c>
      <c r="F120" s="865" t="s">
        <v>18</v>
      </c>
    </row>
    <row r="121" spans="1:11" x14ac:dyDescent="0.15">
      <c r="A121" s="966"/>
      <c r="C121">
        <v>14</v>
      </c>
      <c r="D121" s="865" t="s">
        <v>958</v>
      </c>
    </row>
    <row r="122" spans="1:11" x14ac:dyDescent="0.15">
      <c r="A122" s="966"/>
      <c r="C122">
        <v>1</v>
      </c>
      <c r="D122" s="865" t="s">
        <v>993</v>
      </c>
    </row>
    <row r="123" spans="1:11" x14ac:dyDescent="0.15">
      <c r="A123" s="966"/>
      <c r="C123">
        <v>2</v>
      </c>
      <c r="D123" s="865" t="s">
        <v>996</v>
      </c>
    </row>
    <row r="124" spans="1:11" x14ac:dyDescent="0.15">
      <c r="A124" s="966"/>
      <c r="C124">
        <v>8</v>
      </c>
      <c r="D124" s="865" t="s">
        <v>999</v>
      </c>
      <c r="E124" s="865" t="s">
        <v>18</v>
      </c>
    </row>
    <row r="125" spans="1:11" ht="14" thickBot="1" x14ac:dyDescent="0.2">
      <c r="A125" s="974" t="s">
        <v>68</v>
      </c>
      <c r="B125" s="34"/>
      <c r="C125" s="982">
        <f>SUM(C119:C124)</f>
        <v>131</v>
      </c>
      <c r="D125" s="34"/>
      <c r="E125" s="34"/>
      <c r="F125" s="34"/>
      <c r="G125" s="34"/>
      <c r="H125" s="34"/>
      <c r="I125" s="34"/>
      <c r="J125" s="34"/>
    </row>
    <row r="127" spans="1:11" x14ac:dyDescent="0.15">
      <c r="C127" s="859" t="s">
        <v>18</v>
      </c>
    </row>
  </sheetData>
  <phoneticPr fontId="58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W337"/>
  <sheetViews>
    <sheetView topLeftCell="BF1" workbookViewId="0">
      <selection activeCell="BF38" sqref="BF38"/>
    </sheetView>
  </sheetViews>
  <sheetFormatPr baseColWidth="10" defaultColWidth="8.83203125" defaultRowHeight="13" x14ac:dyDescent="0.15"/>
  <cols>
    <col min="1" max="2" width="28.1640625" bestFit="1" customWidth="1"/>
    <col min="3" max="3" width="11.5" bestFit="1" customWidth="1"/>
    <col min="4" max="5" width="12.6640625" bestFit="1" customWidth="1"/>
    <col min="7" max="7" width="11.33203125" bestFit="1" customWidth="1"/>
    <col min="8" max="8" width="9.33203125" bestFit="1" customWidth="1"/>
    <col min="9" max="9" width="11.33203125" bestFit="1" customWidth="1"/>
    <col min="10" max="10" width="10.5" bestFit="1" customWidth="1"/>
    <col min="15" max="15" width="9.83203125" bestFit="1" customWidth="1"/>
    <col min="16" max="16" width="9.83203125" customWidth="1"/>
    <col min="17" max="17" width="10" bestFit="1" customWidth="1"/>
    <col min="18" max="18" width="10.5" bestFit="1" customWidth="1"/>
    <col min="21" max="22" width="11.5" bestFit="1" customWidth="1"/>
    <col min="23" max="23" width="12.5" bestFit="1" customWidth="1"/>
    <col min="24" max="24" width="12.83203125" customWidth="1"/>
    <col min="25" max="26" width="14" customWidth="1"/>
    <col min="27" max="28" width="12.83203125" customWidth="1"/>
    <col min="29" max="29" width="8.5" customWidth="1"/>
    <col min="33" max="33" width="11" bestFit="1" customWidth="1"/>
    <col min="34" max="34" width="10.83203125" bestFit="1" customWidth="1"/>
    <col min="35" max="36" width="14.33203125" customWidth="1"/>
    <col min="37" max="38" width="10.83203125" customWidth="1"/>
    <col min="39" max="39" width="11.5" customWidth="1"/>
    <col min="40" max="41" width="10.83203125" customWidth="1"/>
    <col min="42" max="42" width="10.1640625" customWidth="1"/>
    <col min="43" max="43" width="13.5" customWidth="1"/>
    <col min="44" max="44" width="12.6640625" customWidth="1"/>
    <col min="45" max="58" width="10.83203125" customWidth="1"/>
    <col min="59" max="59" width="10.5" bestFit="1" customWidth="1"/>
    <col min="60" max="60" width="11.33203125" bestFit="1" customWidth="1"/>
    <col min="61" max="61" width="10.1640625" bestFit="1" customWidth="1"/>
    <col min="62" max="62" width="10" bestFit="1" customWidth="1"/>
    <col min="63" max="63" width="10.1640625" bestFit="1" customWidth="1"/>
    <col min="64" max="64" width="10.5" bestFit="1" customWidth="1"/>
    <col min="65" max="65" width="13.6640625" customWidth="1"/>
    <col min="66" max="66" width="12.83203125" customWidth="1"/>
    <col min="67" max="67" width="9.5" bestFit="1" customWidth="1"/>
    <col min="68" max="68" width="9.5" customWidth="1"/>
    <col min="71" max="71" width="11" bestFit="1" customWidth="1"/>
    <col min="72" max="72" width="14.5" bestFit="1" customWidth="1"/>
    <col min="73" max="73" width="12.1640625" bestFit="1" customWidth="1"/>
    <col min="74" max="74" width="11.33203125" bestFit="1" customWidth="1"/>
    <col min="75" max="75" width="11.1640625" bestFit="1" customWidth="1"/>
    <col min="76" max="76" width="15.5" bestFit="1" customWidth="1"/>
    <col min="77" max="78" width="15" bestFit="1" customWidth="1"/>
    <col min="79" max="79" width="14.5" bestFit="1" customWidth="1"/>
    <col min="80" max="80" width="15" bestFit="1" customWidth="1"/>
    <col min="81" max="81" width="13.6640625" bestFit="1" customWidth="1"/>
    <col min="82" max="82" width="12.1640625" bestFit="1" customWidth="1"/>
    <col min="83" max="83" width="12.5" bestFit="1" customWidth="1"/>
    <col min="84" max="84" width="11.6640625" bestFit="1" customWidth="1"/>
    <col min="85" max="85" width="13.5" bestFit="1" customWidth="1"/>
    <col min="86" max="86" width="12.1640625" bestFit="1" customWidth="1"/>
    <col min="87" max="87" width="13.83203125" bestFit="1" customWidth="1"/>
    <col min="88" max="88" width="13.1640625" bestFit="1" customWidth="1"/>
    <col min="93" max="98" width="13.33203125" bestFit="1" customWidth="1"/>
    <col min="99" max="99" width="10.6640625" customWidth="1"/>
    <col min="100" max="100" width="9.6640625" customWidth="1"/>
    <col min="101" max="101" width="10.6640625" customWidth="1"/>
    <col min="102" max="102" width="13.1640625" bestFit="1" customWidth="1"/>
    <col min="103" max="106" width="10.5" bestFit="1" customWidth="1"/>
    <col min="107" max="107" width="16.5" bestFit="1" customWidth="1"/>
    <col min="108" max="108" width="12" bestFit="1" customWidth="1"/>
    <col min="110" max="110" width="11.6640625" customWidth="1"/>
    <col min="111" max="111" width="10.6640625" bestFit="1" customWidth="1"/>
    <col min="113" max="113" width="13.5" bestFit="1" customWidth="1"/>
    <col min="115" max="115" width="10.6640625" bestFit="1" customWidth="1"/>
    <col min="116" max="117" width="10.6640625" customWidth="1"/>
    <col min="121" max="121" width="16.5" bestFit="1" customWidth="1"/>
  </cols>
  <sheetData>
    <row r="1" spans="1:127" ht="16" x14ac:dyDescent="0.2">
      <c r="A1" s="528" t="s">
        <v>719</v>
      </c>
      <c r="B1" s="93"/>
      <c r="C1" s="1"/>
      <c r="D1" s="305" t="s">
        <v>656</v>
      </c>
      <c r="E1" s="530" t="s">
        <v>709</v>
      </c>
      <c r="F1" s="2"/>
      <c r="G1" s="530" t="s">
        <v>707</v>
      </c>
      <c r="H1" s="530"/>
      <c r="I1" s="530" t="s">
        <v>708</v>
      </c>
      <c r="J1" s="530"/>
      <c r="K1" s="530"/>
      <c r="L1" s="530" t="s">
        <v>710</v>
      </c>
      <c r="M1" s="530"/>
      <c r="N1" s="530" t="s">
        <v>713</v>
      </c>
      <c r="O1" s="1"/>
      <c r="P1" s="1"/>
    </row>
    <row r="2" spans="1:127" ht="16" x14ac:dyDescent="0.2">
      <c r="A2" s="528" t="s">
        <v>704</v>
      </c>
      <c r="C2" s="1"/>
      <c r="E2" s="530" t="s">
        <v>706</v>
      </c>
      <c r="F2" s="2"/>
      <c r="G2" s="530" t="s">
        <v>659</v>
      </c>
      <c r="H2" s="530"/>
      <c r="I2" s="530" t="s">
        <v>711</v>
      </c>
      <c r="J2" s="530"/>
      <c r="K2" s="530"/>
      <c r="L2" s="530" t="s">
        <v>712</v>
      </c>
      <c r="M2" s="530"/>
    </row>
    <row r="3" spans="1:127" ht="17" thickBot="1" x14ac:dyDescent="0.25">
      <c r="A3" s="528" t="s">
        <v>703</v>
      </c>
      <c r="D3" s="14"/>
      <c r="E3" s="2" t="s">
        <v>663</v>
      </c>
      <c r="F3" s="530"/>
      <c r="G3" s="530" t="s">
        <v>716</v>
      </c>
      <c r="H3" s="530"/>
      <c r="I3" s="530" t="s">
        <v>717</v>
      </c>
      <c r="J3" s="530"/>
      <c r="K3" s="530"/>
      <c r="L3" s="530" t="s">
        <v>718</v>
      </c>
      <c r="M3" s="530"/>
      <c r="O3" t="s">
        <v>18</v>
      </c>
      <c r="Q3" t="s">
        <v>18</v>
      </c>
      <c r="DE3" s="34"/>
      <c r="DF3" s="34"/>
      <c r="DG3" s="34"/>
      <c r="DH3" s="14"/>
      <c r="DI3" s="14"/>
      <c r="DJ3" s="14"/>
    </row>
    <row r="4" spans="1:127" ht="14" thickBot="1" x14ac:dyDescent="0.2">
      <c r="A4" s="372"/>
      <c r="B4" s="726"/>
      <c r="C4" s="257"/>
      <c r="D4" s="634"/>
      <c r="E4" s="634"/>
      <c r="F4" s="727"/>
      <c r="G4" s="727"/>
      <c r="H4" s="727"/>
      <c r="I4" s="727"/>
      <c r="J4" s="72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634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  <c r="AT4" s="257"/>
      <c r="AU4" s="257"/>
      <c r="AV4" s="257"/>
      <c r="AW4" s="257"/>
      <c r="AX4" s="257"/>
      <c r="AY4" s="257"/>
      <c r="AZ4" s="257"/>
      <c r="BA4" s="257"/>
      <c r="BB4" s="257"/>
      <c r="BC4" s="257"/>
      <c r="BD4" s="257"/>
      <c r="BE4" s="257"/>
      <c r="BF4" s="257"/>
      <c r="BG4" s="257"/>
      <c r="BH4" s="257"/>
      <c r="BI4" s="257"/>
      <c r="BJ4" s="257"/>
      <c r="BK4" s="257"/>
      <c r="BL4" s="257"/>
      <c r="BM4" s="257"/>
      <c r="BN4" s="257"/>
      <c r="BO4" s="257"/>
      <c r="BP4" s="257"/>
      <c r="BQ4" s="257"/>
      <c r="BR4" s="257"/>
      <c r="BS4" s="257"/>
      <c r="BT4" s="257"/>
      <c r="BU4" s="257"/>
      <c r="BV4" s="257"/>
      <c r="BW4" s="257"/>
      <c r="BX4" s="257"/>
      <c r="BY4" s="257"/>
      <c r="BZ4" s="257"/>
      <c r="CA4" s="257"/>
      <c r="CB4" s="257"/>
      <c r="CC4" s="257"/>
      <c r="CD4" s="257"/>
      <c r="CE4" s="257"/>
      <c r="CF4" s="257"/>
      <c r="CG4" s="257"/>
      <c r="CH4" s="257"/>
      <c r="CI4" s="257"/>
      <c r="CJ4" s="257"/>
      <c r="CK4" s="257"/>
      <c r="CL4" s="257"/>
      <c r="CM4" s="257"/>
      <c r="CN4" s="257"/>
      <c r="CO4" s="257"/>
      <c r="CP4" s="257"/>
      <c r="CQ4" s="257"/>
      <c r="CR4" s="257"/>
      <c r="CS4" s="257"/>
      <c r="CT4" s="257"/>
      <c r="CU4" s="257"/>
      <c r="CV4" s="257"/>
      <c r="CW4" s="257"/>
      <c r="CX4" s="257"/>
      <c r="CY4" s="257"/>
      <c r="CZ4" s="257"/>
      <c r="DA4" s="257"/>
      <c r="DB4" s="257"/>
      <c r="DC4" s="257"/>
      <c r="DD4" s="257"/>
      <c r="DE4" s="372"/>
      <c r="DF4" s="257"/>
      <c r="DG4" s="373"/>
      <c r="DH4" s="933"/>
      <c r="DI4" s="933"/>
      <c r="DJ4" s="933"/>
      <c r="DK4" s="937"/>
      <c r="DL4" s="937"/>
      <c r="DM4" s="937"/>
      <c r="DN4" s="937"/>
      <c r="DO4" s="937"/>
      <c r="DP4" s="937"/>
      <c r="DQ4" s="937"/>
      <c r="DR4" s="937"/>
      <c r="DS4" s="937"/>
    </row>
    <row r="5" spans="1:127" x14ac:dyDescent="0.15">
      <c r="A5" s="48" t="s">
        <v>0</v>
      </c>
      <c r="B5" s="48" t="s">
        <v>42</v>
      </c>
      <c r="C5" s="32" t="s">
        <v>46</v>
      </c>
      <c r="D5" s="32" t="s">
        <v>48</v>
      </c>
      <c r="E5" s="32" t="s">
        <v>47</v>
      </c>
      <c r="F5" s="32" t="s">
        <v>48</v>
      </c>
      <c r="G5" s="32" t="s">
        <v>251</v>
      </c>
      <c r="H5" s="32" t="s">
        <v>252</v>
      </c>
      <c r="I5" s="32" t="s">
        <v>251</v>
      </c>
      <c r="J5" s="32" t="s">
        <v>252</v>
      </c>
      <c r="K5" s="32" t="s">
        <v>125</v>
      </c>
      <c r="L5" s="32" t="s">
        <v>125</v>
      </c>
      <c r="M5" s="32" t="s">
        <v>62</v>
      </c>
      <c r="N5" s="32" t="s">
        <v>62</v>
      </c>
      <c r="O5" s="32" t="s">
        <v>127</v>
      </c>
      <c r="P5" s="32" t="s">
        <v>127</v>
      </c>
      <c r="Q5" s="32" t="s">
        <v>44</v>
      </c>
      <c r="R5" s="32" t="s">
        <v>44</v>
      </c>
      <c r="S5" s="32" t="s">
        <v>45</v>
      </c>
      <c r="T5" s="32" t="s">
        <v>45</v>
      </c>
      <c r="U5" s="32" t="s">
        <v>333</v>
      </c>
      <c r="V5" s="32" t="s">
        <v>333</v>
      </c>
      <c r="W5" s="32" t="s">
        <v>44</v>
      </c>
      <c r="X5" s="32" t="s">
        <v>44</v>
      </c>
      <c r="Y5" s="32" t="s">
        <v>267</v>
      </c>
      <c r="Z5" s="32" t="s">
        <v>267</v>
      </c>
      <c r="AA5" s="32" t="s">
        <v>126</v>
      </c>
      <c r="AB5" s="32" t="s">
        <v>126</v>
      </c>
      <c r="AC5" s="32" t="s">
        <v>10</v>
      </c>
      <c r="AD5" s="32" t="s">
        <v>10</v>
      </c>
      <c r="AE5" s="32" t="s">
        <v>817</v>
      </c>
      <c r="AF5" s="32" t="s">
        <v>817</v>
      </c>
      <c r="AG5" s="32" t="s">
        <v>69</v>
      </c>
      <c r="AH5" s="32" t="s">
        <v>69</v>
      </c>
      <c r="AI5" s="32" t="s">
        <v>87</v>
      </c>
      <c r="AJ5" s="32" t="s">
        <v>87</v>
      </c>
      <c r="AK5" s="32" t="s">
        <v>87</v>
      </c>
      <c r="AL5" s="32" t="s">
        <v>87</v>
      </c>
      <c r="AM5" s="32" t="s">
        <v>557</v>
      </c>
      <c r="AN5" s="32" t="s">
        <v>557</v>
      </c>
      <c r="AO5" s="32" t="s">
        <v>93</v>
      </c>
      <c r="AP5" s="32" t="s">
        <v>93</v>
      </c>
      <c r="AQ5" s="32" t="s">
        <v>93</v>
      </c>
      <c r="AR5" s="32" t="s">
        <v>93</v>
      </c>
      <c r="AS5" s="32" t="s">
        <v>293</v>
      </c>
      <c r="AT5" s="32" t="s">
        <v>293</v>
      </c>
      <c r="AU5" s="32" t="s">
        <v>293</v>
      </c>
      <c r="AV5" s="32" t="s">
        <v>293</v>
      </c>
      <c r="AW5" s="32" t="s">
        <v>293</v>
      </c>
      <c r="AX5" s="32" t="s">
        <v>293</v>
      </c>
      <c r="AY5" s="32" t="s">
        <v>323</v>
      </c>
      <c r="AZ5" s="32" t="s">
        <v>323</v>
      </c>
      <c r="BA5" s="32" t="s">
        <v>323</v>
      </c>
      <c r="BB5" s="32" t="s">
        <v>323</v>
      </c>
      <c r="BC5" s="32" t="s">
        <v>323</v>
      </c>
      <c r="BD5" s="32" t="s">
        <v>323</v>
      </c>
      <c r="BE5" s="484" t="s">
        <v>324</v>
      </c>
      <c r="BF5" s="484" t="s">
        <v>324</v>
      </c>
      <c r="BG5" s="263"/>
      <c r="BH5" s="263"/>
      <c r="BI5" s="32" t="s">
        <v>18</v>
      </c>
      <c r="BJ5" s="263"/>
      <c r="BK5" s="32" t="s">
        <v>84</v>
      </c>
      <c r="BL5" s="32" t="s">
        <v>84</v>
      </c>
      <c r="BM5" s="32" t="s">
        <v>84</v>
      </c>
      <c r="BN5" s="32" t="s">
        <v>84</v>
      </c>
      <c r="BO5" s="32" t="s">
        <v>10</v>
      </c>
      <c r="BP5" s="32" t="s">
        <v>817</v>
      </c>
      <c r="BQ5" s="32" t="s">
        <v>69</v>
      </c>
      <c r="BR5" s="32" t="s">
        <v>62</v>
      </c>
      <c r="BS5" s="32" t="s">
        <v>93</v>
      </c>
      <c r="BT5" s="484" t="s">
        <v>291</v>
      </c>
      <c r="BU5" s="484" t="s">
        <v>292</v>
      </c>
      <c r="BV5" s="484" t="s">
        <v>2</v>
      </c>
      <c r="BW5" s="484" t="s">
        <v>2</v>
      </c>
      <c r="BX5" s="32" t="s">
        <v>11</v>
      </c>
      <c r="BY5" s="32" t="s">
        <v>261</v>
      </c>
      <c r="BZ5" s="32" t="s">
        <v>261</v>
      </c>
      <c r="CA5" s="32" t="s">
        <v>261</v>
      </c>
      <c r="CB5" s="32" t="s">
        <v>261</v>
      </c>
      <c r="CC5" s="32" t="s">
        <v>254</v>
      </c>
      <c r="CD5" s="32" t="s">
        <v>254</v>
      </c>
      <c r="CE5" s="32" t="s">
        <v>254</v>
      </c>
      <c r="CF5" s="32" t="s">
        <v>254</v>
      </c>
      <c r="CG5" s="32" t="s">
        <v>254</v>
      </c>
      <c r="CH5" s="32" t="s">
        <v>254</v>
      </c>
      <c r="CI5" s="32" t="s">
        <v>342</v>
      </c>
      <c r="CJ5" s="32" t="s">
        <v>342</v>
      </c>
      <c r="CK5" s="32" t="s">
        <v>342</v>
      </c>
      <c r="CL5" s="32" t="s">
        <v>342</v>
      </c>
      <c r="CM5" s="32" t="s">
        <v>342</v>
      </c>
      <c r="CN5" s="32" t="s">
        <v>342</v>
      </c>
      <c r="CO5" s="484" t="s">
        <v>344</v>
      </c>
      <c r="CP5" s="484" t="s">
        <v>344</v>
      </c>
      <c r="CQ5" s="484" t="s">
        <v>344</v>
      </c>
      <c r="CR5" s="484" t="s">
        <v>344</v>
      </c>
      <c r="CS5" s="484" t="s">
        <v>344</v>
      </c>
      <c r="CT5" s="484" t="s">
        <v>344</v>
      </c>
      <c r="CU5" s="484" t="s">
        <v>348</v>
      </c>
      <c r="CV5" s="484" t="s">
        <v>348</v>
      </c>
      <c r="CW5" s="484" t="s">
        <v>348</v>
      </c>
      <c r="CX5" s="484" t="s">
        <v>348</v>
      </c>
      <c r="CY5" s="484" t="s">
        <v>556</v>
      </c>
      <c r="CZ5" s="484" t="s">
        <v>556</v>
      </c>
      <c r="DA5" s="484" t="s">
        <v>556</v>
      </c>
      <c r="DB5" s="484" t="s">
        <v>556</v>
      </c>
      <c r="DC5" s="484" t="s">
        <v>583</v>
      </c>
      <c r="DD5" s="484" t="s">
        <v>583</v>
      </c>
      <c r="DE5" s="265" t="s">
        <v>229</v>
      </c>
      <c r="DF5" s="62" t="s">
        <v>758</v>
      </c>
      <c r="DG5" s="464" t="s">
        <v>758</v>
      </c>
      <c r="DH5" s="48" t="s">
        <v>921</v>
      </c>
      <c r="DI5" s="48" t="s">
        <v>936</v>
      </c>
      <c r="DJ5" s="935" t="s">
        <v>938</v>
      </c>
      <c r="DK5" s="939" t="s">
        <v>922</v>
      </c>
      <c r="DL5" s="147" t="s">
        <v>938</v>
      </c>
      <c r="DM5" s="147" t="s">
        <v>938</v>
      </c>
      <c r="DN5" s="935" t="s">
        <v>925</v>
      </c>
      <c r="DO5" s="147" t="s">
        <v>938</v>
      </c>
      <c r="DP5" s="147" t="s">
        <v>938</v>
      </c>
      <c r="DQ5" s="147" t="s">
        <v>888</v>
      </c>
      <c r="DR5" s="147" t="s">
        <v>938</v>
      </c>
      <c r="DS5" s="147" t="s">
        <v>938</v>
      </c>
    </row>
    <row r="6" spans="1:127" ht="14" thickBot="1" x14ac:dyDescent="0.2">
      <c r="A6" s="76" t="s">
        <v>638</v>
      </c>
      <c r="B6" s="91"/>
      <c r="C6" s="13" t="s">
        <v>43</v>
      </c>
      <c r="D6" s="13"/>
      <c r="E6" s="13" t="s">
        <v>39</v>
      </c>
      <c r="F6" s="13"/>
      <c r="G6" s="13" t="s">
        <v>43</v>
      </c>
      <c r="H6" s="13" t="s">
        <v>43</v>
      </c>
      <c r="I6" s="13" t="s">
        <v>39</v>
      </c>
      <c r="J6" s="13" t="s">
        <v>39</v>
      </c>
      <c r="K6" s="13" t="s">
        <v>95</v>
      </c>
      <c r="L6" s="13" t="s">
        <v>96</v>
      </c>
      <c r="M6" s="13" t="s">
        <v>88</v>
      </c>
      <c r="N6" s="13" t="s">
        <v>89</v>
      </c>
      <c r="O6" s="13" t="s">
        <v>334</v>
      </c>
      <c r="P6" s="13" t="s">
        <v>335</v>
      </c>
      <c r="Q6" s="13" t="s">
        <v>63</v>
      </c>
      <c r="R6" s="13" t="s">
        <v>66</v>
      </c>
      <c r="S6" s="13" t="s">
        <v>64</v>
      </c>
      <c r="T6" s="13" t="s">
        <v>65</v>
      </c>
      <c r="U6" s="13" t="s">
        <v>64</v>
      </c>
      <c r="V6" s="13" t="s">
        <v>65</v>
      </c>
      <c r="W6" s="13" t="s">
        <v>98</v>
      </c>
      <c r="X6" s="13" t="s">
        <v>99</v>
      </c>
      <c r="Y6" s="13" t="s">
        <v>128</v>
      </c>
      <c r="Z6" s="13" t="s">
        <v>129</v>
      </c>
      <c r="AA6" s="13" t="s">
        <v>95</v>
      </c>
      <c r="AB6" s="13" t="s">
        <v>96</v>
      </c>
      <c r="AC6" s="13" t="s">
        <v>83</v>
      </c>
      <c r="AD6" s="13" t="s">
        <v>82</v>
      </c>
      <c r="AE6" s="13" t="s">
        <v>83</v>
      </c>
      <c r="AF6" s="13" t="s">
        <v>82</v>
      </c>
      <c r="AG6" s="13" t="s">
        <v>70</v>
      </c>
      <c r="AH6" s="13" t="s">
        <v>71</v>
      </c>
      <c r="AI6" s="13" t="s">
        <v>90</v>
      </c>
      <c r="AJ6" s="13" t="s">
        <v>91</v>
      </c>
      <c r="AK6" s="13" t="s">
        <v>95</v>
      </c>
      <c r="AL6" s="13" t="s">
        <v>96</v>
      </c>
      <c r="AM6" s="13" t="s">
        <v>564</v>
      </c>
      <c r="AN6" s="13" t="s">
        <v>565</v>
      </c>
      <c r="AO6" s="13" t="s">
        <v>90</v>
      </c>
      <c r="AP6" s="13" t="s">
        <v>91</v>
      </c>
      <c r="AQ6" s="13" t="s">
        <v>95</v>
      </c>
      <c r="AR6" s="13" t="s">
        <v>96</v>
      </c>
      <c r="AS6" s="13" t="s">
        <v>88</v>
      </c>
      <c r="AT6" s="13" t="s">
        <v>89</v>
      </c>
      <c r="AU6" s="13" t="s">
        <v>90</v>
      </c>
      <c r="AV6" s="13" t="s">
        <v>91</v>
      </c>
      <c r="AW6" s="13" t="s">
        <v>95</v>
      </c>
      <c r="AX6" s="13" t="s">
        <v>96</v>
      </c>
      <c r="AY6" s="13" t="s">
        <v>88</v>
      </c>
      <c r="AZ6" s="13" t="s">
        <v>89</v>
      </c>
      <c r="BA6" s="13" t="s">
        <v>90</v>
      </c>
      <c r="BB6" s="13" t="s">
        <v>91</v>
      </c>
      <c r="BC6" s="13" t="s">
        <v>95</v>
      </c>
      <c r="BD6" s="13" t="s">
        <v>96</v>
      </c>
      <c r="BE6" s="62" t="s">
        <v>325</v>
      </c>
      <c r="BF6" s="62" t="s">
        <v>326</v>
      </c>
      <c r="BG6" s="13" t="s">
        <v>75</v>
      </c>
      <c r="BH6" s="13" t="s">
        <v>72</v>
      </c>
      <c r="BI6" s="13" t="s">
        <v>73</v>
      </c>
      <c r="BJ6" s="13" t="s">
        <v>74</v>
      </c>
      <c r="BK6" s="13" t="s">
        <v>73</v>
      </c>
      <c r="BL6" s="13" t="s">
        <v>85</v>
      </c>
      <c r="BM6" s="13" t="s">
        <v>288</v>
      </c>
      <c r="BN6" s="13" t="s">
        <v>289</v>
      </c>
      <c r="BO6" s="13" t="s">
        <v>86</v>
      </c>
      <c r="BP6" s="13" t="s">
        <v>86</v>
      </c>
      <c r="BQ6" s="13" t="s">
        <v>92</v>
      </c>
      <c r="BR6" s="13" t="s">
        <v>94</v>
      </c>
      <c r="BS6" s="13" t="s">
        <v>94</v>
      </c>
      <c r="BT6" s="62" t="s">
        <v>290</v>
      </c>
      <c r="BU6" s="62" t="s">
        <v>290</v>
      </c>
      <c r="BV6" s="62" t="s">
        <v>298</v>
      </c>
      <c r="BW6" s="62" t="s">
        <v>299</v>
      </c>
      <c r="BX6" s="13" t="s">
        <v>255</v>
      </c>
      <c r="BY6" s="13" t="s">
        <v>256</v>
      </c>
      <c r="BZ6" s="13" t="s">
        <v>257</v>
      </c>
      <c r="CA6" s="13" t="s">
        <v>258</v>
      </c>
      <c r="CB6" s="13" t="s">
        <v>259</v>
      </c>
      <c r="CC6" s="13" t="s">
        <v>260</v>
      </c>
      <c r="CD6" s="13" t="s">
        <v>96</v>
      </c>
      <c r="CE6" s="13" t="s">
        <v>264</v>
      </c>
      <c r="CF6" s="13" t="s">
        <v>265</v>
      </c>
      <c r="CG6" s="13" t="s">
        <v>262</v>
      </c>
      <c r="CH6" s="13" t="s">
        <v>263</v>
      </c>
      <c r="CI6" s="13" t="s">
        <v>88</v>
      </c>
      <c r="CJ6" s="13" t="s">
        <v>343</v>
      </c>
      <c r="CK6" s="13" t="s">
        <v>90</v>
      </c>
      <c r="CL6" s="13" t="s">
        <v>91</v>
      </c>
      <c r="CM6" s="13" t="s">
        <v>95</v>
      </c>
      <c r="CN6" s="13" t="s">
        <v>96</v>
      </c>
      <c r="CO6" s="62" t="s">
        <v>88</v>
      </c>
      <c r="CP6" s="62" t="s">
        <v>89</v>
      </c>
      <c r="CQ6" s="62" t="s">
        <v>90</v>
      </c>
      <c r="CR6" s="62" t="s">
        <v>346</v>
      </c>
      <c r="CS6" s="62" t="s">
        <v>347</v>
      </c>
      <c r="CT6" s="62" t="s">
        <v>345</v>
      </c>
      <c r="CU6" s="62" t="s">
        <v>349</v>
      </c>
      <c r="CV6" s="62" t="s">
        <v>350</v>
      </c>
      <c r="CW6" s="62" t="s">
        <v>579</v>
      </c>
      <c r="CX6" s="62" t="s">
        <v>580</v>
      </c>
      <c r="CY6" s="13" t="s">
        <v>581</v>
      </c>
      <c r="CZ6" s="13" t="s">
        <v>574</v>
      </c>
      <c r="DA6" s="13" t="s">
        <v>582</v>
      </c>
      <c r="DB6" s="13" t="s">
        <v>577</v>
      </c>
      <c r="DC6" s="62" t="s">
        <v>584</v>
      </c>
      <c r="DD6" s="62" t="s">
        <v>585</v>
      </c>
      <c r="DE6" s="465" t="s">
        <v>757</v>
      </c>
      <c r="DF6" s="581" t="s">
        <v>760</v>
      </c>
      <c r="DG6" s="582" t="s">
        <v>759</v>
      </c>
      <c r="DH6" s="89" t="s">
        <v>10</v>
      </c>
      <c r="DI6" s="89" t="s">
        <v>937</v>
      </c>
      <c r="DJ6" s="936" t="s">
        <v>939</v>
      </c>
      <c r="DK6" s="936" t="s">
        <v>10</v>
      </c>
      <c r="DL6" s="936" t="s">
        <v>937</v>
      </c>
      <c r="DM6" s="936" t="s">
        <v>939</v>
      </c>
      <c r="DN6" s="936" t="s">
        <v>10</v>
      </c>
      <c r="DO6" s="936" t="s">
        <v>937</v>
      </c>
      <c r="DP6" s="936" t="s">
        <v>939</v>
      </c>
      <c r="DQ6" s="936" t="s">
        <v>951</v>
      </c>
      <c r="DR6" s="936" t="s">
        <v>937</v>
      </c>
      <c r="DS6" s="936" t="s">
        <v>939</v>
      </c>
    </row>
    <row r="7" spans="1:127" x14ac:dyDescent="0.15">
      <c r="A7" s="262"/>
      <c r="B7" s="701" t="s">
        <v>34</v>
      </c>
      <c r="C7" s="78">
        <v>10</v>
      </c>
      <c r="D7" s="78">
        <f>+(C7*0.3048)</f>
        <v>3.048</v>
      </c>
      <c r="E7" s="78">
        <v>10</v>
      </c>
      <c r="F7" s="78">
        <f>+(E7*0.3048)</f>
        <v>3.048</v>
      </c>
      <c r="G7" s="78"/>
      <c r="H7" s="78"/>
      <c r="I7" s="78"/>
      <c r="J7" s="78"/>
      <c r="K7" s="78" t="s">
        <v>18</v>
      </c>
      <c r="L7" s="78"/>
      <c r="M7" s="78">
        <v>3</v>
      </c>
      <c r="N7" s="78">
        <f t="shared" ref="N7:N12" si="0">+M7*0.3048</f>
        <v>0.9144000000000001</v>
      </c>
      <c r="O7" s="78">
        <v>76</v>
      </c>
      <c r="P7" s="78">
        <f t="shared" ref="P7:P12" si="1">+O7*0.3048</f>
        <v>23.1648</v>
      </c>
      <c r="Q7" s="78">
        <f t="shared" ref="Q7:Q12" si="2">+M7+O7</f>
        <v>79</v>
      </c>
      <c r="R7" s="78">
        <f t="shared" ref="R7:R12" si="3">+Q7*0.3048</f>
        <v>24.0792</v>
      </c>
      <c r="S7" s="78">
        <v>99</v>
      </c>
      <c r="T7" s="78">
        <f t="shared" ref="T7:T12" si="4">+S7*0.3048</f>
        <v>30.1752</v>
      </c>
      <c r="U7" s="78"/>
      <c r="V7" s="78"/>
      <c r="W7" s="78"/>
      <c r="X7" s="78"/>
      <c r="Y7" s="78"/>
      <c r="Z7" s="78"/>
      <c r="AA7" s="78"/>
      <c r="AB7" s="78"/>
      <c r="AC7" s="78">
        <v>234.833</v>
      </c>
      <c r="AD7" s="78">
        <f>+AC7*0.3048</f>
        <v>71.577098399999997</v>
      </c>
      <c r="AE7" s="78"/>
      <c r="AF7" s="78"/>
      <c r="AG7" s="78" t="s">
        <v>18</v>
      </c>
      <c r="AH7" s="78"/>
      <c r="AI7" s="78" t="s">
        <v>18</v>
      </c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131" t="s">
        <v>15</v>
      </c>
      <c r="BY7" s="78">
        <v>20</v>
      </c>
      <c r="BZ7" s="78">
        <f t="shared" ref="BZ7:BZ12" si="5">+(BY7*0.3048)</f>
        <v>6.0960000000000001</v>
      </c>
      <c r="CA7" s="78">
        <v>20</v>
      </c>
      <c r="CB7" s="78">
        <f t="shared" ref="CB7:CB12" si="6">+(CA7*0.3048)</f>
        <v>6.0960000000000001</v>
      </c>
      <c r="CC7" s="78" t="s">
        <v>18</v>
      </c>
      <c r="CD7" s="78" t="s">
        <v>18</v>
      </c>
      <c r="CE7" s="78">
        <f t="shared" ref="CE7:CE12" si="7">+(CA7*Q7)*2</f>
        <v>3160</v>
      </c>
      <c r="CF7" s="78">
        <f t="shared" ref="CF7:CF12" si="8">+(CE7*0.3048)</f>
        <v>963.16800000000001</v>
      </c>
      <c r="CG7" s="78"/>
      <c r="CH7" s="79"/>
      <c r="CI7" s="50"/>
      <c r="CJ7" s="78"/>
      <c r="CK7" s="50"/>
      <c r="CL7" s="50"/>
      <c r="CM7" s="50"/>
      <c r="CN7" s="78"/>
      <c r="CO7" s="50"/>
      <c r="CP7" s="78"/>
      <c r="CQ7" s="50"/>
      <c r="CR7" s="50"/>
      <c r="CS7" s="50"/>
      <c r="CT7" s="50"/>
      <c r="CU7" s="78">
        <f>+CA7</f>
        <v>20</v>
      </c>
      <c r="CV7" s="50">
        <f t="shared" ref="CV7:CV12" si="9">+CU7*0.3048</f>
        <v>6.0960000000000001</v>
      </c>
      <c r="CW7" s="50">
        <f t="shared" ref="CW7:CW12" si="10">+M7*CU7</f>
        <v>60</v>
      </c>
      <c r="CX7" s="50">
        <f t="shared" ref="CX7:CX12" si="11">+CW7*0.3048</f>
        <v>18.288</v>
      </c>
      <c r="CY7" s="50"/>
      <c r="CZ7" s="50"/>
      <c r="DA7" s="50"/>
      <c r="DB7" s="50"/>
      <c r="DC7" s="50"/>
      <c r="DD7" s="50"/>
      <c r="DE7" s="80"/>
      <c r="DF7" s="14"/>
      <c r="DG7" s="136"/>
      <c r="DH7" s="87"/>
      <c r="DI7" s="87"/>
      <c r="DJ7" s="87"/>
      <c r="DK7" s="57"/>
      <c r="DL7" s="57"/>
      <c r="DM7" s="57"/>
      <c r="DN7" s="57"/>
      <c r="DO7" s="57"/>
      <c r="DP7" s="57"/>
      <c r="DQ7" s="57"/>
      <c r="DR7" s="57"/>
      <c r="DS7" s="57"/>
    </row>
    <row r="8" spans="1:127" x14ac:dyDescent="0.15">
      <c r="A8" s="211"/>
      <c r="B8" s="702" t="s">
        <v>35</v>
      </c>
      <c r="C8" s="38">
        <v>10</v>
      </c>
      <c r="D8" s="38">
        <f>+(C8*0.3048)</f>
        <v>3.048</v>
      </c>
      <c r="E8" s="38">
        <v>10</v>
      </c>
      <c r="F8" s="38">
        <f>+(E8*0.3048)</f>
        <v>3.048</v>
      </c>
      <c r="G8" s="38"/>
      <c r="H8" s="38"/>
      <c r="I8" s="38"/>
      <c r="J8" s="38"/>
      <c r="K8" s="38"/>
      <c r="L8" s="38"/>
      <c r="M8" s="38">
        <v>3</v>
      </c>
      <c r="N8" s="38">
        <f t="shared" si="0"/>
        <v>0.9144000000000001</v>
      </c>
      <c r="O8" s="38">
        <v>76</v>
      </c>
      <c r="P8" s="38">
        <f t="shared" si="1"/>
        <v>23.1648</v>
      </c>
      <c r="Q8" s="38">
        <f t="shared" si="2"/>
        <v>79</v>
      </c>
      <c r="R8" s="38">
        <f t="shared" si="3"/>
        <v>24.0792</v>
      </c>
      <c r="S8" s="38">
        <v>99</v>
      </c>
      <c r="T8" s="38">
        <f t="shared" si="4"/>
        <v>30.1752</v>
      </c>
      <c r="U8" s="38"/>
      <c r="V8" s="38"/>
      <c r="W8" s="38"/>
      <c r="X8" s="38"/>
      <c r="Y8" s="38"/>
      <c r="Z8" s="38"/>
      <c r="AA8" s="38"/>
      <c r="AB8" s="38"/>
      <c r="AC8" s="38">
        <v>199.16701</v>
      </c>
      <c r="AD8" s="38">
        <v>60.706104648000007</v>
      </c>
      <c r="AE8" s="38"/>
      <c r="AF8" s="38"/>
      <c r="AG8" s="38" t="s">
        <v>18</v>
      </c>
      <c r="AH8" s="38" t="s">
        <v>18</v>
      </c>
      <c r="AI8" s="38"/>
      <c r="AJ8" s="38"/>
      <c r="AK8" s="38"/>
      <c r="AL8" s="38"/>
      <c r="AM8" s="38"/>
      <c r="AN8" s="38"/>
      <c r="AO8" s="38" t="s">
        <v>18</v>
      </c>
      <c r="AP8" s="38"/>
      <c r="AQ8" s="38"/>
      <c r="AR8" s="38"/>
      <c r="AS8" s="38"/>
      <c r="AT8" s="38"/>
      <c r="AU8" s="38"/>
      <c r="AV8" s="38"/>
      <c r="AW8" s="38"/>
      <c r="AX8" s="38" t="s">
        <v>18</v>
      </c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113" t="s">
        <v>211</v>
      </c>
      <c r="BY8" s="38">
        <v>20</v>
      </c>
      <c r="BZ8" s="38">
        <f t="shared" si="5"/>
        <v>6.0960000000000001</v>
      </c>
      <c r="CA8" s="38">
        <v>30</v>
      </c>
      <c r="CB8" s="38">
        <f t="shared" si="6"/>
        <v>9.1440000000000001</v>
      </c>
      <c r="CC8" s="38" t="s">
        <v>18</v>
      </c>
      <c r="CD8" s="38" t="s">
        <v>18</v>
      </c>
      <c r="CE8" s="38">
        <f t="shared" si="7"/>
        <v>4740</v>
      </c>
      <c r="CF8" s="38">
        <f t="shared" si="8"/>
        <v>1444.7520000000002</v>
      </c>
      <c r="CG8" s="38"/>
      <c r="CH8" s="81"/>
      <c r="CI8" s="14"/>
      <c r="CJ8" s="38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38">
        <f>+CA8</f>
        <v>30</v>
      </c>
      <c r="CV8" s="14">
        <f t="shared" si="9"/>
        <v>9.1440000000000001</v>
      </c>
      <c r="CW8" s="14">
        <f t="shared" si="10"/>
        <v>90</v>
      </c>
      <c r="CX8" s="14">
        <f t="shared" si="11"/>
        <v>27.432000000000002</v>
      </c>
      <c r="CY8" s="14"/>
      <c r="CZ8" s="14"/>
      <c r="DA8" s="14"/>
      <c r="DB8" s="14"/>
      <c r="DC8" s="14"/>
      <c r="DD8" s="14"/>
      <c r="DE8" s="80"/>
      <c r="DF8" s="14"/>
      <c r="DG8" s="136"/>
      <c r="DH8" s="80"/>
      <c r="DI8" s="80"/>
      <c r="DJ8" s="80"/>
      <c r="DK8" s="94"/>
      <c r="DL8" s="94"/>
      <c r="DM8" s="94"/>
      <c r="DN8" s="94"/>
      <c r="DO8" s="94"/>
      <c r="DP8" s="94"/>
      <c r="DQ8" s="94"/>
      <c r="DR8" s="94"/>
      <c r="DS8" s="94"/>
      <c r="DW8" t="s">
        <v>18</v>
      </c>
    </row>
    <row r="9" spans="1:127" x14ac:dyDescent="0.15">
      <c r="A9" s="211"/>
      <c r="B9" s="702" t="s">
        <v>56</v>
      </c>
      <c r="C9" s="38">
        <v>10</v>
      </c>
      <c r="D9" s="38">
        <f>+(C9*0.3048)</f>
        <v>3.048</v>
      </c>
      <c r="E9" s="38">
        <v>10</v>
      </c>
      <c r="F9" s="38">
        <f>+(E9*0.3048)</f>
        <v>3.048</v>
      </c>
      <c r="G9" s="38"/>
      <c r="H9" s="38"/>
      <c r="I9" s="38"/>
      <c r="J9" s="38"/>
      <c r="K9" s="38"/>
      <c r="L9" s="38"/>
      <c r="M9" s="38">
        <v>3</v>
      </c>
      <c r="N9" s="38">
        <f t="shared" si="0"/>
        <v>0.9144000000000001</v>
      </c>
      <c r="O9" s="38">
        <v>76</v>
      </c>
      <c r="P9" s="38">
        <f t="shared" si="1"/>
        <v>23.1648</v>
      </c>
      <c r="Q9" s="38">
        <f t="shared" si="2"/>
        <v>79</v>
      </c>
      <c r="R9" s="38">
        <f t="shared" si="3"/>
        <v>24.0792</v>
      </c>
      <c r="S9" s="38">
        <v>99</v>
      </c>
      <c r="T9" s="38">
        <f t="shared" si="4"/>
        <v>30.1752</v>
      </c>
      <c r="U9" s="38"/>
      <c r="V9" s="38"/>
      <c r="W9" s="38"/>
      <c r="X9" s="38"/>
      <c r="Y9" s="38"/>
      <c r="Z9" s="38"/>
      <c r="AA9" s="38"/>
      <c r="AB9" s="38"/>
      <c r="AC9" s="38">
        <v>306.16660000000002</v>
      </c>
      <c r="AD9" s="38">
        <v>93.319579680000018</v>
      </c>
      <c r="AE9" s="38"/>
      <c r="AF9" s="38"/>
      <c r="AG9" s="38" t="s">
        <v>18</v>
      </c>
      <c r="AH9" s="38"/>
      <c r="AI9" s="38"/>
      <c r="AJ9" s="38"/>
      <c r="AK9" s="38"/>
      <c r="AL9" s="38"/>
      <c r="AM9" s="38"/>
      <c r="AN9" s="38"/>
      <c r="AO9" s="38"/>
      <c r="AP9" s="38" t="s">
        <v>18</v>
      </c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 t="s">
        <v>18</v>
      </c>
      <c r="BL9" s="38"/>
      <c r="BM9" s="38" t="s">
        <v>18</v>
      </c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113" t="s">
        <v>55</v>
      </c>
      <c r="BY9" s="38">
        <v>20</v>
      </c>
      <c r="BZ9" s="38">
        <f t="shared" si="5"/>
        <v>6.0960000000000001</v>
      </c>
      <c r="CA9" s="38">
        <v>20</v>
      </c>
      <c r="CB9" s="38">
        <f t="shared" si="6"/>
        <v>6.0960000000000001</v>
      </c>
      <c r="CC9" s="38" t="s">
        <v>18</v>
      </c>
      <c r="CD9" s="38" t="s">
        <v>18</v>
      </c>
      <c r="CE9" s="38">
        <f t="shared" si="7"/>
        <v>3160</v>
      </c>
      <c r="CF9" s="38">
        <f t="shared" si="8"/>
        <v>963.16800000000001</v>
      </c>
      <c r="CG9" s="38"/>
      <c r="CH9" s="81"/>
      <c r="CI9" s="14"/>
      <c r="CJ9" s="38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38">
        <f>+CA9</f>
        <v>20</v>
      </c>
      <c r="CV9" s="14">
        <f t="shared" si="9"/>
        <v>6.0960000000000001</v>
      </c>
      <c r="CW9" s="14">
        <f t="shared" si="10"/>
        <v>60</v>
      </c>
      <c r="CX9" s="14">
        <f t="shared" si="11"/>
        <v>18.288</v>
      </c>
      <c r="CY9" s="14"/>
      <c r="CZ9" s="14"/>
      <c r="DA9" s="14"/>
      <c r="DB9" s="14"/>
      <c r="DC9" s="14"/>
      <c r="DD9" s="14"/>
      <c r="DE9" s="80"/>
      <c r="DF9" s="14"/>
      <c r="DG9" s="136"/>
      <c r="DH9" s="80"/>
      <c r="DI9" s="80"/>
      <c r="DJ9" s="80"/>
      <c r="DK9" s="94"/>
      <c r="DL9" s="94"/>
      <c r="DM9" s="94"/>
      <c r="DN9" s="94"/>
      <c r="DO9" s="94"/>
      <c r="DP9" s="94"/>
      <c r="DQ9" s="94"/>
      <c r="DR9" s="94"/>
      <c r="DS9" s="94"/>
      <c r="DV9" t="s">
        <v>18</v>
      </c>
    </row>
    <row r="10" spans="1:127" x14ac:dyDescent="0.15">
      <c r="A10" s="211"/>
      <c r="B10" s="702" t="s">
        <v>301</v>
      </c>
      <c r="C10" s="38">
        <v>10</v>
      </c>
      <c r="D10" s="38">
        <f>+(C10*0.3048)</f>
        <v>3.048</v>
      </c>
      <c r="E10" s="38">
        <v>10</v>
      </c>
      <c r="F10" s="38">
        <f>+(E10*0.3048)</f>
        <v>3.048</v>
      </c>
      <c r="G10" s="38"/>
      <c r="H10" s="38"/>
      <c r="I10" s="38" t="s">
        <v>18</v>
      </c>
      <c r="J10" s="38"/>
      <c r="K10" s="38"/>
      <c r="L10" s="38"/>
      <c r="M10" s="38">
        <v>3</v>
      </c>
      <c r="N10" s="38">
        <f t="shared" si="0"/>
        <v>0.9144000000000001</v>
      </c>
      <c r="O10" s="38">
        <v>76</v>
      </c>
      <c r="P10" s="38">
        <f t="shared" si="1"/>
        <v>23.1648</v>
      </c>
      <c r="Q10" s="38">
        <f t="shared" si="2"/>
        <v>79</v>
      </c>
      <c r="R10" s="38">
        <f t="shared" si="3"/>
        <v>24.0792</v>
      </c>
      <c r="S10" s="38">
        <v>99</v>
      </c>
      <c r="T10" s="38">
        <f t="shared" si="4"/>
        <v>30.1752</v>
      </c>
      <c r="U10" s="38"/>
      <c r="V10" s="38"/>
      <c r="W10" s="38"/>
      <c r="X10" s="38"/>
      <c r="Y10" s="38"/>
      <c r="Z10" s="38"/>
      <c r="AA10" s="38"/>
      <c r="AB10" s="38"/>
      <c r="AC10" s="38">
        <v>345.92</v>
      </c>
      <c r="AD10" s="38">
        <v>105.43641599999999</v>
      </c>
      <c r="AE10" s="38"/>
      <c r="AF10" s="38"/>
      <c r="AG10" s="38" t="s">
        <v>18</v>
      </c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 t="s">
        <v>18</v>
      </c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 t="s">
        <v>18</v>
      </c>
      <c r="BU10" s="38"/>
      <c r="BV10" s="38"/>
      <c r="BW10" s="38"/>
      <c r="BX10" s="113" t="s">
        <v>212</v>
      </c>
      <c r="BY10" s="38">
        <v>20</v>
      </c>
      <c r="BZ10" s="38">
        <f t="shared" si="5"/>
        <v>6.0960000000000001</v>
      </c>
      <c r="CA10" s="38">
        <v>30</v>
      </c>
      <c r="CB10" s="38">
        <f t="shared" si="6"/>
        <v>9.1440000000000001</v>
      </c>
      <c r="CC10" s="38" t="s">
        <v>18</v>
      </c>
      <c r="CD10" s="38" t="s">
        <v>18</v>
      </c>
      <c r="CE10" s="38">
        <f t="shared" si="7"/>
        <v>4740</v>
      </c>
      <c r="CF10" s="38">
        <f t="shared" si="8"/>
        <v>1444.7520000000002</v>
      </c>
      <c r="CG10" s="38"/>
      <c r="CH10" s="81"/>
      <c r="CI10" s="14"/>
      <c r="CJ10" s="14"/>
      <c r="CK10" s="14"/>
      <c r="CL10" s="14"/>
      <c r="CM10" s="14"/>
      <c r="CN10" s="14"/>
      <c r="CO10" s="14"/>
      <c r="CP10" s="14"/>
      <c r="CQ10" s="64" t="s">
        <v>18</v>
      </c>
      <c r="CR10" s="14"/>
      <c r="CS10" s="14"/>
      <c r="CT10" s="14"/>
      <c r="CU10" s="38">
        <f>+CA10/2</f>
        <v>15</v>
      </c>
      <c r="CV10" s="14">
        <f t="shared" si="9"/>
        <v>4.5720000000000001</v>
      </c>
      <c r="CW10" s="14">
        <f t="shared" si="10"/>
        <v>45</v>
      </c>
      <c r="CX10" s="14">
        <f t="shared" si="11"/>
        <v>13.716000000000001</v>
      </c>
      <c r="CY10" s="14"/>
      <c r="CZ10" s="14"/>
      <c r="DA10" s="14"/>
      <c r="DB10" s="14"/>
      <c r="DC10" s="14"/>
      <c r="DD10" s="14"/>
      <c r="DE10" s="80"/>
      <c r="DF10" s="14"/>
      <c r="DG10" s="136"/>
      <c r="DH10" s="80"/>
      <c r="DI10" s="80"/>
      <c r="DJ10" s="80"/>
      <c r="DK10" s="94"/>
      <c r="DL10" s="94"/>
      <c r="DM10" s="94"/>
      <c r="DN10" s="94"/>
      <c r="DO10" s="94"/>
      <c r="DP10" s="94"/>
      <c r="DQ10" s="94"/>
      <c r="DR10" s="94"/>
      <c r="DS10" s="94"/>
    </row>
    <row r="11" spans="1:127" x14ac:dyDescent="0.15">
      <c r="A11" s="211"/>
      <c r="B11" s="702" t="s">
        <v>302</v>
      </c>
      <c r="C11" s="38">
        <v>10</v>
      </c>
      <c r="D11" s="38">
        <f>+(C11*0.3048)</f>
        <v>3.048</v>
      </c>
      <c r="E11" s="38">
        <v>10</v>
      </c>
      <c r="F11" s="38">
        <f>+(E11*0.3048)</f>
        <v>3.048</v>
      </c>
      <c r="G11" s="38"/>
      <c r="H11" s="38"/>
      <c r="I11" s="38"/>
      <c r="J11" s="38"/>
      <c r="K11" s="38"/>
      <c r="L11" s="38"/>
      <c r="M11" s="38">
        <v>3</v>
      </c>
      <c r="N11" s="38">
        <f t="shared" si="0"/>
        <v>0.9144000000000001</v>
      </c>
      <c r="O11" s="38">
        <v>76</v>
      </c>
      <c r="P11" s="38">
        <f t="shared" si="1"/>
        <v>23.1648</v>
      </c>
      <c r="Q11" s="38">
        <f t="shared" si="2"/>
        <v>79</v>
      </c>
      <c r="R11" s="38">
        <f t="shared" si="3"/>
        <v>24.0792</v>
      </c>
      <c r="S11" s="38">
        <v>99</v>
      </c>
      <c r="T11" s="38">
        <f t="shared" si="4"/>
        <v>30.1752</v>
      </c>
      <c r="U11" s="38"/>
      <c r="V11" s="38"/>
      <c r="W11" s="38"/>
      <c r="X11" s="38"/>
      <c r="Y11" s="38"/>
      <c r="Z11" s="38"/>
      <c r="AA11" s="38"/>
      <c r="AB11" s="38"/>
      <c r="AC11" s="38">
        <v>286.14</v>
      </c>
      <c r="AD11" s="38">
        <v>87.215472000000005</v>
      </c>
      <c r="AE11" s="38"/>
      <c r="AF11" s="38"/>
      <c r="AG11" s="38" t="s">
        <v>18</v>
      </c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113" t="s">
        <v>60</v>
      </c>
      <c r="BY11" s="38">
        <v>20</v>
      </c>
      <c r="BZ11" s="38">
        <f t="shared" si="5"/>
        <v>6.0960000000000001</v>
      </c>
      <c r="CA11" s="38">
        <v>30</v>
      </c>
      <c r="CB11" s="38">
        <f t="shared" si="6"/>
        <v>9.1440000000000001</v>
      </c>
      <c r="CC11" s="38" t="s">
        <v>18</v>
      </c>
      <c r="CD11" s="38" t="s">
        <v>18</v>
      </c>
      <c r="CE11" s="38">
        <f t="shared" si="7"/>
        <v>4740</v>
      </c>
      <c r="CF11" s="38">
        <f t="shared" si="8"/>
        <v>1444.7520000000002</v>
      </c>
      <c r="CG11" s="38"/>
      <c r="CH11" s="81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38">
        <f>+CA11</f>
        <v>30</v>
      </c>
      <c r="CV11" s="14">
        <f t="shared" si="9"/>
        <v>9.1440000000000001</v>
      </c>
      <c r="CW11" s="14">
        <f t="shared" si="10"/>
        <v>90</v>
      </c>
      <c r="CX11" s="14">
        <f t="shared" si="11"/>
        <v>27.432000000000002</v>
      </c>
      <c r="CY11" s="14"/>
      <c r="CZ11" s="14"/>
      <c r="DA11" s="14"/>
      <c r="DB11" s="14"/>
      <c r="DC11" s="14"/>
      <c r="DD11" s="14"/>
      <c r="DE11" s="80"/>
      <c r="DF11" s="14"/>
      <c r="DG11" s="136"/>
      <c r="DH11" s="80"/>
      <c r="DI11" s="80"/>
      <c r="DJ11" s="80"/>
      <c r="DK11" s="94"/>
      <c r="DL11" s="94"/>
      <c r="DM11" s="94"/>
      <c r="DN11" s="94"/>
      <c r="DO11" s="94"/>
      <c r="DP11" s="94"/>
      <c r="DQ11" s="94"/>
      <c r="DR11" s="94"/>
      <c r="DS11" s="94"/>
    </row>
    <row r="12" spans="1:127" ht="14" thickBot="1" x14ac:dyDescent="0.2">
      <c r="A12" s="211"/>
      <c r="B12" s="211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>
        <v>3</v>
      </c>
      <c r="N12" s="38">
        <f t="shared" si="0"/>
        <v>0.9144000000000001</v>
      </c>
      <c r="O12" s="38">
        <v>76</v>
      </c>
      <c r="P12" s="38">
        <f t="shared" si="1"/>
        <v>23.1648</v>
      </c>
      <c r="Q12" s="38">
        <f t="shared" si="2"/>
        <v>79</v>
      </c>
      <c r="R12" s="38">
        <f t="shared" si="3"/>
        <v>24.0792</v>
      </c>
      <c r="S12" s="38">
        <v>99</v>
      </c>
      <c r="T12" s="38">
        <f t="shared" si="4"/>
        <v>30.1752</v>
      </c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113" t="s">
        <v>202</v>
      </c>
      <c r="BY12" s="38">
        <v>20</v>
      </c>
      <c r="BZ12" s="38">
        <f t="shared" si="5"/>
        <v>6.0960000000000001</v>
      </c>
      <c r="CA12" s="38">
        <v>30</v>
      </c>
      <c r="CB12" s="38">
        <f t="shared" si="6"/>
        <v>9.1440000000000001</v>
      </c>
      <c r="CC12" s="38" t="s">
        <v>18</v>
      </c>
      <c r="CD12" s="38" t="s">
        <v>18</v>
      </c>
      <c r="CE12" s="38">
        <f t="shared" si="7"/>
        <v>4740</v>
      </c>
      <c r="CF12" s="38">
        <f t="shared" si="8"/>
        <v>1444.7520000000002</v>
      </c>
      <c r="CG12" s="38"/>
      <c r="CH12" s="81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38">
        <f>+CA12</f>
        <v>30</v>
      </c>
      <c r="CV12" s="14">
        <f t="shared" si="9"/>
        <v>9.1440000000000001</v>
      </c>
      <c r="CW12" s="14">
        <f t="shared" si="10"/>
        <v>90</v>
      </c>
      <c r="CX12" s="14">
        <f t="shared" si="11"/>
        <v>27.432000000000002</v>
      </c>
      <c r="CY12" s="64" t="s">
        <v>18</v>
      </c>
      <c r="CZ12" s="14"/>
      <c r="DA12" s="14"/>
      <c r="DB12" s="14"/>
      <c r="DC12" s="14"/>
      <c r="DD12" s="14"/>
      <c r="DE12" s="82"/>
      <c r="DF12" s="34"/>
      <c r="DG12" s="35"/>
      <c r="DH12" s="82"/>
      <c r="DI12" s="82"/>
      <c r="DJ12" s="82"/>
      <c r="DK12" s="95"/>
      <c r="DL12" s="95"/>
      <c r="DM12" s="95"/>
      <c r="DN12" s="95"/>
      <c r="DO12" s="95"/>
      <c r="DP12" s="95"/>
      <c r="DQ12" s="95"/>
      <c r="DR12" s="95"/>
      <c r="DS12" s="95"/>
      <c r="DW12" t="s">
        <v>18</v>
      </c>
    </row>
    <row r="13" spans="1:127" ht="14" thickBot="1" x14ac:dyDescent="0.2">
      <c r="A13" s="211"/>
      <c r="B13" s="632" t="s">
        <v>97</v>
      </c>
      <c r="C13" s="65">
        <v>10</v>
      </c>
      <c r="D13" s="65">
        <f>+(C13*0.3048)</f>
        <v>3.048</v>
      </c>
      <c r="E13" s="65">
        <v>10</v>
      </c>
      <c r="F13" s="65">
        <f>+(E13*0.3048)</f>
        <v>3.048</v>
      </c>
      <c r="G13" s="295"/>
      <c r="H13" s="295"/>
      <c r="I13" s="295"/>
      <c r="J13" s="295"/>
      <c r="K13" s="295"/>
      <c r="L13" s="295"/>
      <c r="M13" s="65">
        <v>3</v>
      </c>
      <c r="N13" s="65">
        <f>+M13*0.3048</f>
        <v>0.9144000000000001</v>
      </c>
      <c r="O13" s="65">
        <v>76</v>
      </c>
      <c r="P13" s="65">
        <f>+O13*0.3048</f>
        <v>23.1648</v>
      </c>
      <c r="Q13" s="65">
        <v>79</v>
      </c>
      <c r="R13" s="65">
        <f>+Q13*0.3048</f>
        <v>24.0792</v>
      </c>
      <c r="S13" s="65">
        <v>99</v>
      </c>
      <c r="T13" s="65">
        <f>+S13*0.3048</f>
        <v>30.1752</v>
      </c>
      <c r="U13" s="295"/>
      <c r="V13" s="295"/>
      <c r="W13" s="295"/>
      <c r="X13" s="295"/>
      <c r="Y13" s="295"/>
      <c r="Z13" s="295"/>
      <c r="AA13" s="295"/>
      <c r="AB13" s="295"/>
      <c r="AC13" s="295"/>
      <c r="AD13" s="295"/>
      <c r="AE13" s="295"/>
      <c r="AF13" s="295"/>
      <c r="AG13" s="295"/>
      <c r="AH13" s="295"/>
      <c r="AI13" s="295"/>
      <c r="AJ13" s="295"/>
      <c r="AK13" s="295"/>
      <c r="AL13" s="295"/>
      <c r="AM13" s="65">
        <v>8</v>
      </c>
      <c r="AN13" s="65">
        <f>+AM13*0.3048</f>
        <v>2.4384000000000001</v>
      </c>
      <c r="AO13" s="295"/>
      <c r="AP13" s="295"/>
      <c r="AQ13" s="295"/>
      <c r="AR13" s="295"/>
      <c r="AS13" s="295"/>
      <c r="AT13" s="295"/>
      <c r="AU13" s="295"/>
      <c r="AV13" s="295"/>
      <c r="AW13" s="295"/>
      <c r="AX13" s="295"/>
      <c r="AY13" s="295"/>
      <c r="AZ13" s="295"/>
      <c r="BA13" s="295"/>
      <c r="BB13" s="295"/>
      <c r="BC13" s="295"/>
      <c r="BD13" s="295"/>
      <c r="BE13" s="295"/>
      <c r="BF13" s="295"/>
      <c r="BG13" s="295"/>
      <c r="BH13" s="295"/>
      <c r="BI13" s="295"/>
      <c r="BJ13" s="295"/>
      <c r="BK13" s="295"/>
      <c r="BL13" s="295"/>
      <c r="BM13" s="295"/>
      <c r="BN13" s="295"/>
      <c r="BO13" s="295"/>
      <c r="BP13" s="295"/>
      <c r="BQ13" s="295"/>
      <c r="BR13" s="295"/>
      <c r="BS13" s="295"/>
      <c r="BT13" s="295"/>
      <c r="BU13" s="295"/>
      <c r="BV13" s="295"/>
      <c r="BW13" s="295"/>
      <c r="BX13" s="295"/>
      <c r="BY13" s="65">
        <f>+(BY7+BY8+BY9+BY10+BY11+BY12)/6</f>
        <v>20</v>
      </c>
      <c r="BZ13" s="65">
        <f>+(BZ7+BZ8+BZ9+BZ10+BZ11+BZ12)/6</f>
        <v>6.0960000000000001</v>
      </c>
      <c r="CA13" s="65">
        <f>+(CA7+CA8+CA9+CA10+CA11+CA12)/6</f>
        <v>26.666666666666668</v>
      </c>
      <c r="CB13" s="65">
        <f>+(CB7+CB8+CB9+CB10+CB11+CB12)/6</f>
        <v>8.1279999999999983</v>
      </c>
      <c r="CC13" s="128" t="s">
        <v>18</v>
      </c>
      <c r="CD13" s="128" t="s">
        <v>18</v>
      </c>
      <c r="CE13" s="128"/>
      <c r="CF13" s="128" t="s">
        <v>18</v>
      </c>
      <c r="CG13" s="128"/>
      <c r="CH13" s="128"/>
      <c r="CI13" s="128"/>
      <c r="CJ13" s="99"/>
      <c r="CK13" s="99"/>
      <c r="CL13" s="99"/>
      <c r="CM13" s="99"/>
      <c r="CN13" s="99"/>
      <c r="CO13" s="99"/>
      <c r="CP13" s="99"/>
      <c r="CQ13" s="99"/>
      <c r="CR13" s="99" t="s">
        <v>18</v>
      </c>
      <c r="CS13" s="99"/>
      <c r="CT13" s="99"/>
      <c r="CU13" s="99"/>
      <c r="CV13" s="99"/>
      <c r="CW13" s="44"/>
      <c r="CX13" s="44"/>
      <c r="CY13" s="44"/>
      <c r="CZ13" s="44"/>
      <c r="DA13" s="44"/>
      <c r="DB13" s="44"/>
      <c r="DC13" s="44"/>
      <c r="DD13" s="44"/>
      <c r="DE13" s="86"/>
      <c r="DF13" s="44"/>
      <c r="DG13" s="45"/>
      <c r="DH13" s="86"/>
      <c r="DI13" s="86"/>
      <c r="DJ13" s="86"/>
      <c r="DK13" s="934"/>
      <c r="DL13" s="934"/>
      <c r="DM13" s="934"/>
      <c r="DN13" s="934"/>
      <c r="DO13" s="934"/>
      <c r="DP13" s="934"/>
      <c r="DQ13" s="934"/>
      <c r="DR13" s="934"/>
      <c r="DS13" s="934"/>
    </row>
    <row r="14" spans="1:127" ht="14" thickBot="1" x14ac:dyDescent="0.2">
      <c r="A14" s="211"/>
      <c r="B14" s="632" t="s">
        <v>253</v>
      </c>
      <c r="C14" s="295"/>
      <c r="D14" s="295"/>
      <c r="E14" s="295"/>
      <c r="F14" s="295"/>
      <c r="G14" s="575">
        <f>+(BI14-AG14)</f>
        <v>2275</v>
      </c>
      <c r="H14" s="575">
        <f>+G14*0.3048</f>
        <v>693.42000000000007</v>
      </c>
      <c r="I14" s="575">
        <f>+(BI14-AG14)</f>
        <v>2275</v>
      </c>
      <c r="J14" s="575">
        <f>+I14*0.3048</f>
        <v>693.42000000000007</v>
      </c>
      <c r="K14" s="575">
        <f>+G14*(C13+E13)</f>
        <v>45500</v>
      </c>
      <c r="L14" s="575">
        <f>+K14*0.3048</f>
        <v>13868.400000000001</v>
      </c>
      <c r="M14" s="295"/>
      <c r="N14" s="295"/>
      <c r="O14" s="295"/>
      <c r="P14" s="295"/>
      <c r="Q14" s="295"/>
      <c r="R14" s="295"/>
      <c r="S14" s="295"/>
      <c r="T14" s="295"/>
      <c r="U14" s="575">
        <f>+BI14*S13</f>
        <v>246609</v>
      </c>
      <c r="V14" s="575">
        <f>+U14*0.3048</f>
        <v>75166.423200000005</v>
      </c>
      <c r="W14" s="575">
        <f>+BI14*Q13</f>
        <v>196789</v>
      </c>
      <c r="X14" s="575">
        <f>+W14*0.3048</f>
        <v>59981.287200000006</v>
      </c>
      <c r="Y14" s="575">
        <f>+(BI14-AI14)*M13</f>
        <v>1095</v>
      </c>
      <c r="Z14" s="575">
        <f>+Y14*0.3048</f>
        <v>333.75600000000003</v>
      </c>
      <c r="AA14" s="97"/>
      <c r="AB14" s="97"/>
      <c r="AC14" s="575">
        <f>SUM(AC7:AC11)</f>
        <v>1372.2266100000002</v>
      </c>
      <c r="AD14" s="575">
        <f>SUM(AD7:AD11)</f>
        <v>418.25467072800006</v>
      </c>
      <c r="AE14" s="575">
        <v>0</v>
      </c>
      <c r="AF14" s="575">
        <v>0</v>
      </c>
      <c r="AG14" s="575">
        <v>216</v>
      </c>
      <c r="AH14" s="575">
        <f>+AG14*0.3048</f>
        <v>65.836799999999997</v>
      </c>
      <c r="AI14" s="575">
        <v>2126</v>
      </c>
      <c r="AJ14" s="575">
        <f>+AI14*0.3048</f>
        <v>648.00480000000005</v>
      </c>
      <c r="AK14" s="575">
        <f>+M13*AI14</f>
        <v>6378</v>
      </c>
      <c r="AL14" s="575">
        <f>+AK14*0.3048</f>
        <v>1944.0144</v>
      </c>
      <c r="AM14" s="128"/>
      <c r="AN14" s="128"/>
      <c r="AO14" s="575">
        <v>467</v>
      </c>
      <c r="AP14" s="575">
        <f>+AO14*0.3048</f>
        <v>142.3416</v>
      </c>
      <c r="AQ14" s="575">
        <f>+AO14*AM13</f>
        <v>3736</v>
      </c>
      <c r="AR14" s="575">
        <f>+AQ14*0.3048</f>
        <v>1138.7328</v>
      </c>
      <c r="AS14" s="97" t="s">
        <v>18</v>
      </c>
      <c r="AT14" s="97" t="s">
        <v>18</v>
      </c>
      <c r="AU14" s="97" t="s">
        <v>18</v>
      </c>
      <c r="AV14" s="97" t="s">
        <v>18</v>
      </c>
      <c r="AW14" s="575">
        <v>0</v>
      </c>
      <c r="AX14" s="575">
        <v>0</v>
      </c>
      <c r="AY14" s="97"/>
      <c r="AZ14" s="97"/>
      <c r="BA14" s="97"/>
      <c r="BB14" s="97"/>
      <c r="BC14" s="97"/>
      <c r="BD14" s="97"/>
      <c r="BE14" s="97"/>
      <c r="BF14" s="97"/>
      <c r="BG14" s="589">
        <v>0.47</v>
      </c>
      <c r="BH14" s="589">
        <f>+BG14*1.609344</f>
        <v>0.75639168000000001</v>
      </c>
      <c r="BI14" s="575">
        <v>2491</v>
      </c>
      <c r="BJ14" s="575">
        <f>+BI14*0.3048</f>
        <v>759.2568</v>
      </c>
      <c r="BK14" s="575">
        <f>+BI14*2</f>
        <v>4982</v>
      </c>
      <c r="BL14" s="575">
        <f>+BK14*0.3048</f>
        <v>1518.5136</v>
      </c>
      <c r="BM14" s="575">
        <v>6188.3915751055092</v>
      </c>
      <c r="BN14" s="575">
        <v>1886.2217520921595</v>
      </c>
      <c r="BO14" s="700">
        <f>+AC14/BK14</f>
        <v>0.27543689482135691</v>
      </c>
      <c r="BP14" s="700">
        <f>+AE14/BK14</f>
        <v>0</v>
      </c>
      <c r="BQ14" s="700">
        <f>+AG14/BI14</f>
        <v>8.6712163789642707E-2</v>
      </c>
      <c r="BR14" s="700">
        <f>+AI14/BI14</f>
        <v>0.85347250100361305</v>
      </c>
      <c r="BS14" s="700">
        <f>+AO14/BK14</f>
        <v>9.3737454837414691E-2</v>
      </c>
      <c r="BT14" s="700">
        <v>0.02</v>
      </c>
      <c r="BU14" s="700">
        <v>0</v>
      </c>
      <c r="BV14" s="575">
        <v>9431.0061616346702</v>
      </c>
      <c r="BW14" s="575">
        <v>2874.5706780662481</v>
      </c>
      <c r="BX14" s="97"/>
      <c r="BY14" s="97"/>
      <c r="BZ14" s="97"/>
      <c r="CA14" s="97" t="s">
        <v>18</v>
      </c>
      <c r="CB14" s="97"/>
      <c r="CC14" s="575">
        <f>+(BY13*AG14)*2</f>
        <v>8640</v>
      </c>
      <c r="CD14" s="575">
        <f>+CC14*0.3048</f>
        <v>2633.4720000000002</v>
      </c>
      <c r="CE14" s="575">
        <f>SUM(CE7:CE12)</f>
        <v>25280</v>
      </c>
      <c r="CF14" s="575">
        <f>+CE14*0.3048</f>
        <v>7705.3440000000001</v>
      </c>
      <c r="CG14" s="575">
        <f>+CC14+CE14</f>
        <v>33920</v>
      </c>
      <c r="CH14" s="575">
        <f>+CG14*0.3048</f>
        <v>10338.816000000001</v>
      </c>
      <c r="CI14" s="128"/>
      <c r="CJ14" s="101"/>
      <c r="CK14" s="99"/>
      <c r="CL14" s="101"/>
      <c r="CM14" s="99"/>
      <c r="CN14" s="101"/>
      <c r="CO14" s="99"/>
      <c r="CP14" s="101"/>
      <c r="CQ14" s="99"/>
      <c r="CR14" s="101"/>
      <c r="CS14" s="99"/>
      <c r="CT14" s="101"/>
      <c r="CU14" s="99"/>
      <c r="CV14" s="101"/>
      <c r="CW14" s="579">
        <f>SUM(CW7:CW12)</f>
        <v>435</v>
      </c>
      <c r="CX14" s="579">
        <f>SUM(CX7:CX12)</f>
        <v>132.58799999999999</v>
      </c>
      <c r="CY14" s="579">
        <v>1356.1000000000001</v>
      </c>
      <c r="CZ14" s="579">
        <v>413.33928000000009</v>
      </c>
      <c r="DA14" s="579">
        <v>1344.6</v>
      </c>
      <c r="DB14" s="579">
        <v>409.83408000000003</v>
      </c>
      <c r="DC14" s="579">
        <f>+CY14+DA14</f>
        <v>2700.7</v>
      </c>
      <c r="DD14" s="579">
        <f>+CZ14+DB14</f>
        <v>823.17336000000012</v>
      </c>
      <c r="DE14" s="792">
        <v>8</v>
      </c>
      <c r="DF14" s="575">
        <f>+DE14/BG14</f>
        <v>17.021276595744681</v>
      </c>
      <c r="DG14" s="576">
        <f>+DE14/BH14</f>
        <v>10.576530931699301</v>
      </c>
      <c r="DH14" s="949">
        <v>432.5</v>
      </c>
      <c r="DI14" s="949">
        <f>+DH14/BG14</f>
        <v>920.21276595744689</v>
      </c>
      <c r="DJ14" s="949">
        <f>+DH14/BH14</f>
        <v>571.79370349499345</v>
      </c>
      <c r="DK14" s="950">
        <v>752.7</v>
      </c>
      <c r="DL14" s="950">
        <f>+DK14/BG14</f>
        <v>1601.4893617021278</v>
      </c>
      <c r="DM14" s="950">
        <f>+DK14/BH14</f>
        <v>995.11935403625807</v>
      </c>
      <c r="DN14" s="950">
        <v>175.6</v>
      </c>
      <c r="DO14" s="950">
        <f>+DN14/BG14</f>
        <v>373.61702127659578</v>
      </c>
      <c r="DP14" s="950">
        <f>+DO14/BH14</f>
        <v>493.94649776765891</v>
      </c>
      <c r="DQ14" s="931">
        <v>23</v>
      </c>
      <c r="DR14" s="950">
        <f>+DQ14/BG14</f>
        <v>48.936170212765958</v>
      </c>
      <c r="DS14" s="950">
        <f>+DQ14/BH14</f>
        <v>30.407526428635492</v>
      </c>
    </row>
    <row r="15" spans="1:127" ht="14" thickBot="1" x14ac:dyDescent="0.2">
      <c r="A15" s="568"/>
      <c r="B15" s="632" t="s">
        <v>126</v>
      </c>
      <c r="C15" s="65"/>
      <c r="D15" s="65"/>
      <c r="E15" s="65"/>
      <c r="F15" s="6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5" t="s">
        <v>18</v>
      </c>
      <c r="V15" s="65" t="s">
        <v>18</v>
      </c>
      <c r="W15" s="575">
        <f>+BI14*O13</f>
        <v>189316</v>
      </c>
      <c r="X15" s="575">
        <f>+W15*0.3048</f>
        <v>57703.516800000005</v>
      </c>
      <c r="Y15" s="575">
        <v>1095</v>
      </c>
      <c r="Z15" s="575">
        <v>333.8</v>
      </c>
      <c r="AA15" s="575">
        <f>+(W15+Y15)</f>
        <v>190411</v>
      </c>
      <c r="AB15" s="575">
        <f>+AA15*0.3048</f>
        <v>58037.272800000006</v>
      </c>
      <c r="AC15" s="698"/>
      <c r="AD15" s="698"/>
      <c r="AE15" s="698"/>
      <c r="AF15" s="698"/>
      <c r="AG15" s="698"/>
      <c r="AH15" s="698"/>
      <c r="AI15" s="698"/>
      <c r="AJ15" s="698"/>
      <c r="AK15" s="698"/>
      <c r="AL15" s="698"/>
      <c r="AM15" s="698"/>
      <c r="AN15" s="698"/>
      <c r="AO15" s="698"/>
      <c r="AP15" s="698"/>
      <c r="AQ15" s="575" t="s">
        <v>18</v>
      </c>
      <c r="AR15" s="575" t="s">
        <v>18</v>
      </c>
      <c r="AS15" s="698"/>
      <c r="AT15" s="698"/>
      <c r="AU15" s="698"/>
      <c r="AV15" s="698"/>
      <c r="AW15" s="698"/>
      <c r="AX15" s="698"/>
      <c r="AY15" s="698"/>
      <c r="AZ15" s="698"/>
      <c r="BA15" s="698"/>
      <c r="BB15" s="698"/>
      <c r="BC15" s="698"/>
      <c r="BD15" s="698"/>
      <c r="BE15" s="698"/>
      <c r="BF15" s="698"/>
      <c r="BG15" s="698"/>
      <c r="BH15" s="698"/>
      <c r="BI15" s="698"/>
      <c r="BJ15" s="698"/>
      <c r="BK15" s="698"/>
      <c r="BL15" s="698"/>
      <c r="BM15" s="698"/>
      <c r="BN15" s="698"/>
      <c r="BO15" s="698"/>
      <c r="BP15" s="698"/>
      <c r="BQ15" s="698"/>
      <c r="BR15" s="698"/>
      <c r="BS15" s="698"/>
      <c r="BT15" s="698"/>
      <c r="BU15" s="698"/>
      <c r="BV15" s="698"/>
      <c r="BW15" s="698"/>
      <c r="BX15" s="698"/>
      <c r="BY15" s="698"/>
      <c r="BZ15" s="698"/>
      <c r="CA15" s="698"/>
      <c r="CB15" s="698"/>
      <c r="CC15" s="698"/>
      <c r="CD15" s="698"/>
      <c r="CE15" s="698"/>
      <c r="CF15" s="698"/>
      <c r="CG15" s="698"/>
      <c r="CH15" s="698"/>
      <c r="CI15" s="128"/>
      <c r="CJ15" s="99" t="s">
        <v>18</v>
      </c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44"/>
      <c r="CZ15" s="44"/>
      <c r="DA15" s="44"/>
      <c r="DB15" s="44"/>
      <c r="DC15" s="44"/>
      <c r="DD15" s="44"/>
      <c r="DE15" s="793" t="s">
        <v>18</v>
      </c>
      <c r="DF15" s="44"/>
      <c r="DG15" s="45"/>
      <c r="DH15" s="86"/>
      <c r="DI15" s="86"/>
      <c r="DJ15" s="86"/>
      <c r="DK15" s="934"/>
      <c r="DL15" s="934"/>
      <c r="DM15" s="934"/>
      <c r="DN15" s="934"/>
      <c r="DO15" s="934"/>
      <c r="DP15" s="934"/>
      <c r="DQ15" s="934"/>
      <c r="DR15" s="934"/>
      <c r="DS15" s="934"/>
    </row>
    <row r="16" spans="1:127" ht="14" thickBot="1" x14ac:dyDescent="0.2">
      <c r="A16" s="14"/>
      <c r="B16" s="89" t="s">
        <v>705</v>
      </c>
      <c r="C16" s="33"/>
      <c r="D16" s="33"/>
      <c r="E16" s="270"/>
      <c r="F16" s="270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70"/>
      <c r="V16" s="270"/>
      <c r="W16" s="666"/>
      <c r="X16" s="666"/>
      <c r="Y16" s="296" t="s">
        <v>268</v>
      </c>
      <c r="Z16" s="666"/>
      <c r="AA16" s="666"/>
      <c r="AB16" s="666"/>
      <c r="AC16" s="271"/>
      <c r="AD16" s="272"/>
      <c r="AE16" s="272"/>
      <c r="AF16" s="272"/>
      <c r="AG16" s="272"/>
      <c r="AH16" s="272"/>
      <c r="AI16" s="272"/>
      <c r="AJ16" s="272"/>
      <c r="AK16" s="272"/>
      <c r="AL16" s="272"/>
      <c r="AM16" s="272"/>
      <c r="AN16" s="272"/>
      <c r="AO16" s="272"/>
      <c r="AP16" s="272"/>
      <c r="AQ16" s="272"/>
      <c r="AR16" s="272"/>
      <c r="AS16" s="272"/>
      <c r="AT16" s="272"/>
      <c r="AU16" s="272"/>
      <c r="AV16" s="272"/>
      <c r="AW16" s="272"/>
      <c r="AX16" s="272"/>
      <c r="AY16" s="272"/>
      <c r="AZ16" s="272"/>
      <c r="BA16" s="272"/>
      <c r="BB16" s="272"/>
      <c r="BC16" s="272"/>
      <c r="BD16" s="272"/>
      <c r="BE16" s="272"/>
      <c r="BF16" s="272"/>
      <c r="BG16" s="272"/>
      <c r="BH16" s="272"/>
      <c r="BI16" s="272"/>
      <c r="BJ16" s="272"/>
      <c r="BK16" s="272"/>
      <c r="BL16" s="272"/>
      <c r="BM16" s="272"/>
      <c r="BN16" s="272"/>
      <c r="BO16" s="272"/>
      <c r="BP16" s="272"/>
      <c r="BQ16" s="272"/>
      <c r="BR16" s="272"/>
      <c r="BS16" s="272"/>
      <c r="BT16" s="272"/>
      <c r="BU16" s="272"/>
      <c r="BV16" s="272"/>
      <c r="BW16" s="272"/>
      <c r="BX16" s="272"/>
      <c r="BY16" s="272"/>
      <c r="BZ16" s="272"/>
      <c r="CA16" s="272"/>
      <c r="CB16" s="272"/>
      <c r="CC16" s="272"/>
      <c r="CD16" s="272"/>
      <c r="CE16" s="272"/>
      <c r="CF16" s="272"/>
      <c r="CG16" s="272"/>
      <c r="CH16" s="272"/>
      <c r="CI16" s="273"/>
      <c r="CJ16" s="273"/>
      <c r="CK16" s="273"/>
      <c r="CL16" s="273"/>
      <c r="CM16" s="273"/>
      <c r="CN16" s="273"/>
      <c r="CO16" s="273"/>
      <c r="CP16" s="273"/>
      <c r="CQ16" s="273"/>
      <c r="CR16" s="273"/>
      <c r="CS16" s="273"/>
      <c r="CT16" s="273"/>
      <c r="CU16" s="273"/>
      <c r="CV16" s="273"/>
      <c r="CW16" s="273"/>
      <c r="CX16" s="273"/>
      <c r="CY16" s="34"/>
      <c r="CZ16" s="34"/>
      <c r="DA16" s="34"/>
      <c r="DB16" s="34"/>
      <c r="DC16" s="34"/>
      <c r="DD16" s="34"/>
      <c r="DE16" s="417" t="s">
        <v>762</v>
      </c>
      <c r="DF16" s="313" t="s">
        <v>761</v>
      </c>
      <c r="DG16" s="819" t="s">
        <v>798</v>
      </c>
    </row>
    <row r="17" spans="1:121" x14ac:dyDescent="0.15">
      <c r="A17" s="14"/>
      <c r="B17" s="13"/>
      <c r="C17" s="13"/>
      <c r="D17" s="13"/>
      <c r="E17" s="84"/>
      <c r="F17" s="84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84"/>
      <c r="V17" s="84"/>
      <c r="W17" s="71"/>
      <c r="X17" s="71"/>
      <c r="Z17" s="71"/>
      <c r="AA17" s="71"/>
      <c r="AB17" s="71"/>
      <c r="AC17" s="121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  <c r="BI17" s="122"/>
      <c r="BJ17" s="122"/>
      <c r="BK17" s="122"/>
      <c r="BL17" s="122"/>
      <c r="BM17" s="122"/>
      <c r="BN17" s="122"/>
      <c r="BO17" s="122"/>
      <c r="BP17" s="122"/>
      <c r="BQ17" s="122"/>
      <c r="BR17" s="122"/>
      <c r="BS17" s="122"/>
      <c r="BT17" s="122"/>
      <c r="BU17" s="122"/>
      <c r="BV17" s="122"/>
      <c r="BW17" s="122"/>
      <c r="BX17" s="122"/>
      <c r="BY17" s="122"/>
      <c r="BZ17" s="122"/>
      <c r="CA17" s="122"/>
      <c r="CB17" s="122"/>
      <c r="CC17" s="122"/>
      <c r="CD17" s="122"/>
      <c r="CE17" s="122"/>
      <c r="CF17" s="122"/>
      <c r="CG17" s="122"/>
      <c r="CH17" s="122"/>
      <c r="CX17" s="2" t="s">
        <v>18</v>
      </c>
      <c r="DG17" s="859"/>
      <c r="DH17" s="114"/>
      <c r="DI17" s="975" t="s">
        <v>18</v>
      </c>
      <c r="DJ17" s="114"/>
      <c r="DK17" s="9"/>
      <c r="DL17" s="953" t="s">
        <v>18</v>
      </c>
      <c r="DM17" s="9"/>
      <c r="DN17" s="9"/>
    </row>
    <row r="18" spans="1:121" ht="14" thickBot="1" x14ac:dyDescent="0.2">
      <c r="B18" s="1" t="s">
        <v>352</v>
      </c>
      <c r="C18" s="13" t="s">
        <v>95</v>
      </c>
      <c r="D18" s="13" t="s">
        <v>96</v>
      </c>
      <c r="E18" s="84" t="s">
        <v>297</v>
      </c>
      <c r="F18" s="84" t="s">
        <v>714</v>
      </c>
      <c r="G18" s="84"/>
      <c r="H18" s="7"/>
      <c r="I18" s="7"/>
      <c r="J18" s="7"/>
      <c r="K18" s="7"/>
      <c r="M18" s="7"/>
      <c r="N18" s="7"/>
      <c r="O18" s="7"/>
      <c r="P18" s="3"/>
      <c r="AQ18" s="2" t="s">
        <v>18</v>
      </c>
      <c r="BP18" s="592" t="s">
        <v>18</v>
      </c>
      <c r="BT18" t="s">
        <v>18</v>
      </c>
      <c r="CW18" s="2" t="s">
        <v>18</v>
      </c>
      <c r="DC18" s="2" t="s">
        <v>18</v>
      </c>
      <c r="DG18" s="2" t="s">
        <v>18</v>
      </c>
      <c r="DN18" s="859" t="s">
        <v>18</v>
      </c>
    </row>
    <row r="19" spans="1:121" x14ac:dyDescent="0.15">
      <c r="B19" s="48" t="s">
        <v>126</v>
      </c>
      <c r="C19" s="813">
        <f>+AA15</f>
        <v>190411</v>
      </c>
      <c r="D19" s="813">
        <f>+(C19*0.3048)</f>
        <v>58037.272800000006</v>
      </c>
      <c r="E19" s="723">
        <f>+D19/D38</f>
        <v>0.77211699491908248</v>
      </c>
      <c r="F19" s="709" t="s">
        <v>18</v>
      </c>
      <c r="G19" s="595"/>
      <c r="H19" s="7"/>
      <c r="I19" s="7"/>
      <c r="J19" s="7"/>
      <c r="K19" s="7"/>
      <c r="M19" s="7"/>
      <c r="N19" s="7"/>
      <c r="O19" s="7"/>
      <c r="P19" s="3"/>
      <c r="S19" s="2" t="s">
        <v>18</v>
      </c>
      <c r="AX19" s="2" t="s">
        <v>18</v>
      </c>
      <c r="DG19" s="2" t="s">
        <v>18</v>
      </c>
      <c r="DQ19" t="s">
        <v>18</v>
      </c>
    </row>
    <row r="20" spans="1:121" x14ac:dyDescent="0.15">
      <c r="B20" s="107" t="s">
        <v>269</v>
      </c>
      <c r="C20" s="117">
        <f>+AQ14</f>
        <v>3736</v>
      </c>
      <c r="D20" s="117">
        <f>+(C20*0.3048)</f>
        <v>1138.7328</v>
      </c>
      <c r="E20" s="756">
        <f>+D20/D38</f>
        <v>1.5149487650491263E-2</v>
      </c>
      <c r="F20" s="788">
        <v>1.5149487650491263E-2</v>
      </c>
      <c r="G20" s="112" t="s">
        <v>18</v>
      </c>
      <c r="H20" s="7" t="s">
        <v>18</v>
      </c>
      <c r="I20" s="7" t="s">
        <v>18</v>
      </c>
      <c r="J20" s="7" t="s">
        <v>18</v>
      </c>
      <c r="K20" s="7"/>
      <c r="L20" s="40"/>
      <c r="M20" s="7"/>
      <c r="N20" s="7"/>
      <c r="O20" s="7"/>
      <c r="P20" s="3"/>
      <c r="BT20" t="s">
        <v>18</v>
      </c>
      <c r="DG20" s="2" t="s">
        <v>18</v>
      </c>
    </row>
    <row r="21" spans="1:121" x14ac:dyDescent="0.15">
      <c r="B21" s="107" t="s">
        <v>270</v>
      </c>
      <c r="C21" s="117">
        <f>+C19-C20</f>
        <v>186675</v>
      </c>
      <c r="D21" s="117">
        <f>+(C21*0.3048)</f>
        <v>56898.54</v>
      </c>
      <c r="E21" s="756">
        <f>+D21/D38</f>
        <v>0.75696750726859119</v>
      </c>
      <c r="F21" s="788">
        <v>0.75696750726859119</v>
      </c>
      <c r="G21" s="112"/>
      <c r="H21" s="7"/>
      <c r="I21" s="7"/>
      <c r="J21" s="7"/>
      <c r="K21" s="7"/>
      <c r="L21" s="40"/>
      <c r="M21" s="7"/>
      <c r="N21" s="7"/>
      <c r="O21" s="7"/>
      <c r="P21" s="3"/>
      <c r="DF21" s="2" t="s">
        <v>18</v>
      </c>
    </row>
    <row r="22" spans="1:121" x14ac:dyDescent="0.15">
      <c r="B22" s="107" t="s">
        <v>281</v>
      </c>
      <c r="C22" s="212">
        <f>+BT14</f>
        <v>0.02</v>
      </c>
      <c r="D22" s="111">
        <f>+BT14</f>
        <v>0.02</v>
      </c>
      <c r="E22" s="84"/>
      <c r="F22" s="788"/>
      <c r="G22" s="112"/>
      <c r="H22" s="7"/>
      <c r="I22" s="7"/>
      <c r="J22" s="7"/>
      <c r="K22" s="7"/>
      <c r="L22" s="40"/>
      <c r="M22" s="7"/>
      <c r="N22" s="7"/>
      <c r="O22" s="7"/>
      <c r="P22" s="3"/>
      <c r="AC22" s="2" t="s">
        <v>18</v>
      </c>
      <c r="AQ22" s="2" t="s">
        <v>18</v>
      </c>
    </row>
    <row r="23" spans="1:121" x14ac:dyDescent="0.15">
      <c r="B23" s="107" t="s">
        <v>278</v>
      </c>
      <c r="C23" s="117">
        <f>+C22*C21</f>
        <v>3733.5</v>
      </c>
      <c r="D23" s="117">
        <f>+(C23*0.3048)</f>
        <v>1137.9708000000001</v>
      </c>
      <c r="E23" s="489">
        <f>+D23/D38</f>
        <v>1.5139350145371823E-2</v>
      </c>
      <c r="F23" s="788"/>
      <c r="G23" s="112"/>
      <c r="H23" s="7"/>
      <c r="I23" s="7"/>
      <c r="J23" s="7"/>
      <c r="K23" s="7"/>
      <c r="L23" s="40"/>
      <c r="M23" s="7"/>
      <c r="N23" s="7"/>
      <c r="O23" s="7"/>
      <c r="P23" s="3"/>
      <c r="BT23" t="s">
        <v>18</v>
      </c>
      <c r="DN23" s="859" t="s">
        <v>18</v>
      </c>
    </row>
    <row r="24" spans="1:121" x14ac:dyDescent="0.15">
      <c r="B24" s="107" t="s">
        <v>279</v>
      </c>
      <c r="C24" s="212">
        <f>+C20+C23</f>
        <v>7469.5</v>
      </c>
      <c r="D24" s="212">
        <f>+D20+D23</f>
        <v>2276.7035999999998</v>
      </c>
      <c r="E24" s="489">
        <f>+D24/D38</f>
        <v>3.0288837795863083E-2</v>
      </c>
      <c r="F24" s="788"/>
      <c r="G24" s="112"/>
      <c r="H24" s="7" t="s">
        <v>18</v>
      </c>
      <c r="I24" s="7"/>
      <c r="J24" s="7"/>
      <c r="K24" s="7"/>
      <c r="L24" s="40"/>
      <c r="M24" s="7"/>
      <c r="N24" s="7"/>
      <c r="O24" s="7"/>
      <c r="P24" s="3"/>
      <c r="DG24" s="859" t="s">
        <v>18</v>
      </c>
    </row>
    <row r="25" spans="1:121" x14ac:dyDescent="0.15">
      <c r="B25" s="107" t="s">
        <v>272</v>
      </c>
      <c r="C25" s="114">
        <f>1-C22</f>
        <v>0.98</v>
      </c>
      <c r="D25" s="114">
        <f>1-D22</f>
        <v>0.98</v>
      </c>
      <c r="E25" s="84"/>
      <c r="F25" s="788"/>
      <c r="G25" s="112"/>
      <c r="H25" s="7"/>
      <c r="I25" s="7"/>
      <c r="J25" s="7"/>
      <c r="K25" s="7"/>
      <c r="L25" s="40"/>
      <c r="M25" s="7"/>
      <c r="N25" s="7"/>
      <c r="O25" s="7"/>
      <c r="P25" s="3"/>
      <c r="AJ25" t="s">
        <v>18</v>
      </c>
      <c r="DB25" s="2" t="s">
        <v>18</v>
      </c>
    </row>
    <row r="26" spans="1:121" x14ac:dyDescent="0.15">
      <c r="B26" s="107" t="s">
        <v>271</v>
      </c>
      <c r="C26" s="117">
        <f>+C21*C25</f>
        <v>182941.5</v>
      </c>
      <c r="D26" s="117">
        <f t="shared" ref="D26:D34" si="12">+(C26*0.3048)</f>
        <v>55760.569200000005</v>
      </c>
      <c r="E26" s="703">
        <f>+D26/D38</f>
        <v>0.74182815712321937</v>
      </c>
      <c r="F26" s="788"/>
      <c r="G26" s="112"/>
      <c r="H26" s="7"/>
      <c r="I26" s="7"/>
      <c r="J26" s="7"/>
      <c r="K26" s="7"/>
      <c r="L26" s="40"/>
      <c r="M26" s="7"/>
      <c r="N26" s="7"/>
      <c r="O26" s="7"/>
      <c r="P26" s="3"/>
      <c r="BP26" s="2" t="s">
        <v>18</v>
      </c>
    </row>
    <row r="27" spans="1:121" x14ac:dyDescent="0.15">
      <c r="B27" s="91" t="s">
        <v>273</v>
      </c>
      <c r="C27" s="117">
        <f>+CG14</f>
        <v>33920</v>
      </c>
      <c r="D27" s="117">
        <f t="shared" si="12"/>
        <v>10338.816000000001</v>
      </c>
      <c r="E27" s="489">
        <f>+D27/D38</f>
        <v>0.13754566946056307</v>
      </c>
      <c r="F27" s="788"/>
      <c r="G27" s="112" t="s">
        <v>18</v>
      </c>
      <c r="H27" s="7"/>
      <c r="I27" s="7"/>
      <c r="J27" s="7"/>
      <c r="K27" s="7"/>
      <c r="L27" s="40"/>
      <c r="M27" s="7"/>
      <c r="N27" s="7"/>
      <c r="O27" s="7"/>
      <c r="P27" s="3"/>
      <c r="DP27" s="859" t="s">
        <v>18</v>
      </c>
    </row>
    <row r="28" spans="1:121" x14ac:dyDescent="0.15">
      <c r="B28" s="107" t="s">
        <v>282</v>
      </c>
      <c r="C28" s="111">
        <f>+BU14</f>
        <v>0</v>
      </c>
      <c r="D28" s="111">
        <f>+BU14</f>
        <v>0</v>
      </c>
      <c r="E28" s="84" t="s">
        <v>18</v>
      </c>
      <c r="F28" s="788"/>
      <c r="G28" s="112"/>
      <c r="H28" s="7"/>
      <c r="I28" s="7"/>
      <c r="J28" s="7"/>
      <c r="K28" s="7"/>
      <c r="L28" s="40"/>
      <c r="M28" s="7"/>
      <c r="N28" s="7"/>
      <c r="O28" s="7"/>
      <c r="P28" s="3"/>
      <c r="CX28" s="2" t="s">
        <v>18</v>
      </c>
      <c r="DK28" s="859" t="s">
        <v>18</v>
      </c>
    </row>
    <row r="29" spans="1:121" x14ac:dyDescent="0.15">
      <c r="B29" s="91" t="s">
        <v>280</v>
      </c>
      <c r="C29" s="117">
        <f>+C28*C19</f>
        <v>0</v>
      </c>
      <c r="D29" s="117">
        <f>+(C29*0.3048)</f>
        <v>0</v>
      </c>
      <c r="E29" s="489">
        <f>+D29/D38</f>
        <v>0</v>
      </c>
      <c r="F29" s="788"/>
      <c r="G29" s="112"/>
      <c r="H29" s="7"/>
      <c r="I29" s="7"/>
      <c r="J29" s="7"/>
      <c r="K29" s="7"/>
      <c r="L29" s="40"/>
      <c r="M29" s="7"/>
      <c r="N29" s="7"/>
      <c r="O29" s="7"/>
      <c r="P29" s="3"/>
    </row>
    <row r="30" spans="1:121" x14ac:dyDescent="0.15">
      <c r="B30" s="107" t="s">
        <v>274</v>
      </c>
      <c r="C30" s="117">
        <f>+C26-C27</f>
        <v>149021.5</v>
      </c>
      <c r="D30" s="117">
        <f t="shared" si="12"/>
        <v>45421.753199999999</v>
      </c>
      <c r="E30" s="489">
        <f>+D30/D38</f>
        <v>0.60428248766265624</v>
      </c>
      <c r="F30" s="788"/>
      <c r="G30" s="112" t="s">
        <v>18</v>
      </c>
      <c r="H30" s="7"/>
      <c r="I30" s="7"/>
      <c r="J30" s="7"/>
      <c r="K30" s="7"/>
      <c r="L30" s="40"/>
      <c r="M30" s="7"/>
      <c r="N30" s="7"/>
      <c r="O30" s="7"/>
      <c r="P30" s="3"/>
    </row>
    <row r="31" spans="1:121" x14ac:dyDescent="0.15">
      <c r="B31" s="107" t="s">
        <v>275</v>
      </c>
      <c r="C31" s="117">
        <f>+K14</f>
        <v>45500</v>
      </c>
      <c r="D31" s="117">
        <f t="shared" si="12"/>
        <v>13868.400000000001</v>
      </c>
      <c r="E31" s="724">
        <f>+D31/D38</f>
        <v>0.18450259317380957</v>
      </c>
      <c r="F31" s="788">
        <v>0.18450259317380957</v>
      </c>
      <c r="G31" s="112" t="s">
        <v>18</v>
      </c>
      <c r="H31" s="7"/>
      <c r="I31" s="7" t="s">
        <v>18</v>
      </c>
      <c r="J31" s="7"/>
      <c r="K31" s="7"/>
      <c r="L31" s="40"/>
      <c r="M31" s="7"/>
      <c r="N31" s="7"/>
      <c r="O31" s="7"/>
      <c r="P31" s="3"/>
    </row>
    <row r="32" spans="1:121" x14ac:dyDescent="0.15">
      <c r="B32" s="107" t="s">
        <v>276</v>
      </c>
      <c r="C32" s="117">
        <f>+C27+C31</f>
        <v>79420</v>
      </c>
      <c r="D32" s="117">
        <f t="shared" si="12"/>
        <v>24207.216</v>
      </c>
      <c r="E32" s="489">
        <f>+D32/D38</f>
        <v>0.32204826263437264</v>
      </c>
      <c r="F32" s="788" t="s">
        <v>18</v>
      </c>
      <c r="G32" s="112"/>
      <c r="H32" s="7"/>
      <c r="I32" s="7"/>
      <c r="J32" s="7"/>
      <c r="K32" s="7"/>
      <c r="L32" s="40"/>
      <c r="M32" s="7"/>
      <c r="N32" s="7"/>
      <c r="O32" s="7"/>
      <c r="P32" s="3"/>
    </row>
    <row r="33" spans="1:123" x14ac:dyDescent="0.15">
      <c r="B33" s="107" t="s">
        <v>283</v>
      </c>
      <c r="C33" s="814">
        <f>+AW14</f>
        <v>0</v>
      </c>
      <c r="D33" s="117">
        <f t="shared" si="12"/>
        <v>0</v>
      </c>
      <c r="E33" s="724">
        <f>+D33/D38</f>
        <v>0</v>
      </c>
      <c r="F33" s="788">
        <v>0</v>
      </c>
      <c r="G33" s="112" t="s">
        <v>18</v>
      </c>
      <c r="H33" s="7" t="s">
        <v>18</v>
      </c>
      <c r="I33" s="7"/>
      <c r="J33" s="7"/>
      <c r="K33" s="7"/>
      <c r="L33" s="40"/>
      <c r="M33" s="7"/>
      <c r="N33" s="7"/>
      <c r="O33" s="7"/>
      <c r="P33" s="3"/>
      <c r="Q33" t="s">
        <v>18</v>
      </c>
    </row>
    <row r="34" spans="1:123" x14ac:dyDescent="0.15">
      <c r="B34" s="107" t="s">
        <v>277</v>
      </c>
      <c r="C34" s="814">
        <f>+C29+C33</f>
        <v>0</v>
      </c>
      <c r="D34" s="117">
        <f t="shared" si="12"/>
        <v>0</v>
      </c>
      <c r="E34" s="489">
        <f>+D34/D38</f>
        <v>0</v>
      </c>
      <c r="F34" s="788"/>
      <c r="G34" s="112"/>
      <c r="H34" s="7"/>
      <c r="I34" s="7" t="s">
        <v>18</v>
      </c>
      <c r="J34" s="7"/>
      <c r="K34" s="7"/>
      <c r="L34" s="40"/>
      <c r="M34" s="7"/>
      <c r="N34" s="7"/>
      <c r="O34" s="7"/>
      <c r="P34" s="3"/>
      <c r="DD34" s="2" t="s">
        <v>18</v>
      </c>
    </row>
    <row r="35" spans="1:123" x14ac:dyDescent="0.15">
      <c r="B35" s="107" t="s">
        <v>284</v>
      </c>
      <c r="C35" s="117">
        <f>++C31+C33</f>
        <v>45500</v>
      </c>
      <c r="D35" s="117">
        <f>+(C35*0.3048)</f>
        <v>13868.400000000001</v>
      </c>
      <c r="E35" s="489">
        <f>+D35/D38</f>
        <v>0.18450259317380957</v>
      </c>
      <c r="F35" s="788" t="s">
        <v>18</v>
      </c>
      <c r="G35" s="112" t="s">
        <v>18</v>
      </c>
      <c r="H35" s="7"/>
      <c r="I35" s="7" t="s">
        <v>18</v>
      </c>
      <c r="J35" s="7"/>
      <c r="K35" s="7"/>
      <c r="L35" s="40"/>
      <c r="M35" s="7"/>
      <c r="N35" s="7"/>
      <c r="O35" s="7"/>
      <c r="P35" s="3"/>
      <c r="DO35" s="859" t="s">
        <v>18</v>
      </c>
    </row>
    <row r="36" spans="1:123" x14ac:dyDescent="0.15">
      <c r="B36" s="107" t="s">
        <v>285</v>
      </c>
      <c r="C36" s="117">
        <f>++C32+C34</f>
        <v>79420</v>
      </c>
      <c r="D36" s="117">
        <f>+(C36*0.3048)</f>
        <v>24207.216</v>
      </c>
      <c r="E36" s="489">
        <f>+D36/D38</f>
        <v>0.32204826263437264</v>
      </c>
      <c r="F36" s="788" t="s">
        <v>18</v>
      </c>
      <c r="G36" s="112" t="s">
        <v>18</v>
      </c>
      <c r="H36" s="7"/>
      <c r="I36" s="7"/>
      <c r="J36" s="7"/>
      <c r="K36" s="7"/>
      <c r="L36" s="40"/>
      <c r="M36" s="7"/>
      <c r="N36" s="7"/>
      <c r="O36" s="7"/>
      <c r="P36" s="3"/>
      <c r="CL36" s="2" t="s">
        <v>18</v>
      </c>
    </row>
    <row r="37" spans="1:123" x14ac:dyDescent="0.15">
      <c r="B37" s="107" t="s">
        <v>296</v>
      </c>
      <c r="C37" s="117">
        <f>+BM14</f>
        <v>6188.3915751055092</v>
      </c>
      <c r="D37" s="117">
        <f>+(C37*0.3048)</f>
        <v>1886.2217520921592</v>
      </c>
      <c r="E37" s="724">
        <f>+D37/D38</f>
        <v>2.5093940509492797E-2</v>
      </c>
      <c r="F37" s="788">
        <v>2.5093940509492797E-2</v>
      </c>
      <c r="G37" s="207"/>
      <c r="H37" s="1" t="s">
        <v>18</v>
      </c>
      <c r="I37" s="1"/>
      <c r="J37" s="1"/>
      <c r="K37" s="1"/>
      <c r="L37" s="1"/>
      <c r="N37" t="s">
        <v>18</v>
      </c>
      <c r="Q37" t="s">
        <v>18</v>
      </c>
      <c r="T37" t="s">
        <v>18</v>
      </c>
      <c r="AC37" s="3"/>
      <c r="DK37" s="3"/>
      <c r="DL37" s="3"/>
      <c r="DM37" s="3"/>
    </row>
    <row r="38" spans="1:123" x14ac:dyDescent="0.15">
      <c r="B38" s="107" t="s">
        <v>287</v>
      </c>
      <c r="C38" s="814">
        <f>+U14</f>
        <v>246609</v>
      </c>
      <c r="D38" s="814">
        <f>+V14</f>
        <v>75166.423200000005</v>
      </c>
      <c r="E38" s="84"/>
      <c r="F38" s="790"/>
      <c r="G38" s="706"/>
      <c r="H38" s="9" t="s">
        <v>18</v>
      </c>
      <c r="I38" s="9" t="s">
        <v>18</v>
      </c>
      <c r="J38" s="9"/>
      <c r="N38" t="s">
        <v>18</v>
      </c>
      <c r="Q38" t="s">
        <v>18</v>
      </c>
      <c r="S38" t="s">
        <v>18</v>
      </c>
      <c r="T38" t="s">
        <v>18</v>
      </c>
      <c r="AC38" s="3"/>
      <c r="AO38" t="s">
        <v>18</v>
      </c>
      <c r="AQ38" t="s">
        <v>18</v>
      </c>
      <c r="AZ38" s="3"/>
      <c r="BE38" s="2" t="s">
        <v>18</v>
      </c>
    </row>
    <row r="39" spans="1:123" x14ac:dyDescent="0.15">
      <c r="B39" s="107" t="s">
        <v>300</v>
      </c>
      <c r="C39" s="814">
        <f>+C38-C19-C37-C31</f>
        <v>4509.6084248944899</v>
      </c>
      <c r="D39" s="117">
        <f>+(C39*0.3048)</f>
        <v>1374.5286479078407</v>
      </c>
      <c r="E39" s="724">
        <f>+D39/D38</f>
        <v>1.8286471397615214E-2</v>
      </c>
      <c r="F39" s="788">
        <v>1.8286471397615214E-2</v>
      </c>
      <c r="G39" s="706"/>
      <c r="H39" s="9"/>
      <c r="I39" s="9"/>
      <c r="J39" s="9"/>
      <c r="N39" t="s">
        <v>18</v>
      </c>
      <c r="Q39" t="s">
        <v>18</v>
      </c>
      <c r="S39" t="s">
        <v>18</v>
      </c>
      <c r="AC39" s="3"/>
      <c r="AI39" s="2" t="s">
        <v>18</v>
      </c>
      <c r="AZ39" s="3"/>
      <c r="DN39" s="859" t="s">
        <v>18</v>
      </c>
    </row>
    <row r="40" spans="1:123" ht="14" thickBot="1" x14ac:dyDescent="0.2">
      <c r="B40" s="89" t="s">
        <v>49</v>
      </c>
      <c r="C40" s="815">
        <f>+BV14</f>
        <v>9431.0061616346702</v>
      </c>
      <c r="D40" s="816">
        <f>+BW14</f>
        <v>2874.5706780662481</v>
      </c>
      <c r="E40" s="704">
        <f>+D40/D38</f>
        <v>3.8242749298016986E-2</v>
      </c>
      <c r="F40" s="705"/>
      <c r="G40" s="710" t="s">
        <v>18</v>
      </c>
      <c r="H40" s="9"/>
      <c r="I40" s="9"/>
      <c r="J40" s="9"/>
      <c r="AC40" s="3"/>
      <c r="AZ40" s="3"/>
    </row>
    <row r="41" spans="1:123" ht="14" thickBot="1" x14ac:dyDescent="0.2">
      <c r="B41" s="42" t="s">
        <v>587</v>
      </c>
      <c r="C41" s="714">
        <f>+DC14/BK14</f>
        <v>0.54209152950622241</v>
      </c>
      <c r="D41" s="715">
        <f>+DC14/BK14</f>
        <v>0.54209152950622241</v>
      </c>
      <c r="E41" s="716"/>
      <c r="F41" s="80"/>
      <c r="G41" s="710"/>
      <c r="H41" s="9"/>
      <c r="I41" s="9"/>
      <c r="J41" s="9"/>
      <c r="AC41" s="3"/>
      <c r="AZ41" s="3"/>
    </row>
    <row r="42" spans="1:123" ht="14" thickBot="1" x14ac:dyDescent="0.2">
      <c r="B42" s="42" t="s">
        <v>715</v>
      </c>
      <c r="C42" s="476"/>
      <c r="D42" s="711"/>
      <c r="E42" s="712" t="s">
        <v>18</v>
      </c>
      <c r="F42" s="700">
        <f>SUM(F19:F40)</f>
        <v>1</v>
      </c>
      <c r="G42" s="713"/>
      <c r="H42" s="9"/>
      <c r="I42" s="9"/>
      <c r="J42" s="9" t="s">
        <v>18</v>
      </c>
      <c r="O42" t="s">
        <v>18</v>
      </c>
      <c r="AC42" s="3"/>
      <c r="BW42" s="2" t="s">
        <v>18</v>
      </c>
    </row>
    <row r="43" spans="1:123" x14ac:dyDescent="0.15">
      <c r="B43" s="48" t="s">
        <v>705</v>
      </c>
      <c r="C43" s="717" t="s">
        <v>294</v>
      </c>
      <c r="D43" s="78"/>
      <c r="E43" s="817" t="s">
        <v>797</v>
      </c>
      <c r="F43" s="818" t="s">
        <v>18</v>
      </c>
      <c r="G43" s="719" t="s">
        <v>18</v>
      </c>
      <c r="H43" s="9" t="s">
        <v>18</v>
      </c>
      <c r="I43" s="9" t="s">
        <v>18</v>
      </c>
      <c r="J43" s="9"/>
      <c r="N43" t="s">
        <v>18</v>
      </c>
      <c r="S43" t="s">
        <v>18</v>
      </c>
      <c r="AC43" s="3"/>
    </row>
    <row r="44" spans="1:123" ht="14" thickBot="1" x14ac:dyDescent="0.2">
      <c r="B44" s="82" t="s">
        <v>18</v>
      </c>
      <c r="C44" s="720" t="s">
        <v>295</v>
      </c>
      <c r="D44" s="174"/>
      <c r="E44" s="174"/>
      <c r="F44" s="721"/>
      <c r="G44" s="722"/>
      <c r="H44" s="9"/>
      <c r="I44" s="9"/>
      <c r="J44" s="9"/>
      <c r="AC44" s="3"/>
      <c r="DR44" s="859" t="s">
        <v>18</v>
      </c>
    </row>
    <row r="45" spans="1:123" ht="14" thickBot="1" x14ac:dyDescent="0.2">
      <c r="B45" s="61"/>
      <c r="D45" s="3"/>
      <c r="E45" s="3"/>
      <c r="F45" s="9"/>
      <c r="G45" s="9"/>
      <c r="H45" s="9"/>
      <c r="I45" s="9"/>
      <c r="J45" s="9"/>
      <c r="AC45" s="3"/>
    </row>
    <row r="46" spans="1:123" ht="14" thickBot="1" x14ac:dyDescent="0.2">
      <c r="A46" s="372"/>
      <c r="B46" s="728"/>
      <c r="C46" s="525"/>
      <c r="D46" s="729"/>
      <c r="E46" s="729"/>
      <c r="F46" s="730"/>
      <c r="G46" s="730"/>
      <c r="H46" s="730"/>
      <c r="I46" s="730"/>
      <c r="J46" s="730"/>
      <c r="K46" s="525"/>
      <c r="L46" s="525"/>
      <c r="M46" s="525"/>
      <c r="N46" s="525"/>
      <c r="O46" s="525"/>
      <c r="P46" s="525"/>
      <c r="Q46" s="525"/>
      <c r="R46" s="525"/>
      <c r="S46" s="525"/>
      <c r="T46" s="525"/>
      <c r="U46" s="525"/>
      <c r="V46" s="525"/>
      <c r="W46" s="525"/>
      <c r="X46" s="525"/>
      <c r="Y46" s="525"/>
      <c r="Z46" s="525"/>
      <c r="AA46" s="525"/>
      <c r="AB46" s="525"/>
      <c r="AC46" s="729"/>
      <c r="AD46" s="525"/>
      <c r="AE46" s="525"/>
      <c r="AF46" s="525"/>
      <c r="AG46" s="525"/>
      <c r="AH46" s="525"/>
      <c r="AI46" s="525"/>
      <c r="AJ46" s="525"/>
      <c r="AK46" s="525"/>
      <c r="AL46" s="525"/>
      <c r="AM46" s="525"/>
      <c r="AN46" s="525"/>
      <c r="AO46" s="525"/>
      <c r="AP46" s="525"/>
      <c r="AQ46" s="525"/>
      <c r="AR46" s="525"/>
      <c r="AS46" s="525"/>
      <c r="AT46" s="525"/>
      <c r="AU46" s="525"/>
      <c r="AV46" s="525"/>
      <c r="AW46" s="525"/>
      <c r="AX46" s="525"/>
      <c r="AY46" s="525"/>
      <c r="AZ46" s="525"/>
      <c r="BA46" s="525"/>
      <c r="BB46" s="525"/>
      <c r="BC46" s="525"/>
      <c r="BD46" s="525"/>
      <c r="BE46" s="525"/>
      <c r="BF46" s="525"/>
      <c r="BG46" s="525"/>
      <c r="BH46" s="525"/>
      <c r="BI46" s="525"/>
      <c r="BJ46" s="525"/>
      <c r="BK46" s="525"/>
      <c r="BL46" s="525"/>
      <c r="BM46" s="525"/>
      <c r="BN46" s="525"/>
      <c r="BO46" s="525"/>
      <c r="BP46" s="525"/>
      <c r="BQ46" s="525"/>
      <c r="BR46" s="525"/>
      <c r="BS46" s="525"/>
      <c r="BT46" s="525"/>
      <c r="BU46" s="525"/>
      <c r="BV46" s="525"/>
      <c r="BW46" s="525"/>
      <c r="BX46" s="525"/>
      <c r="BY46" s="525"/>
      <c r="BZ46" s="525"/>
      <c r="CA46" s="525"/>
      <c r="CB46" s="525"/>
      <c r="CC46" s="525"/>
      <c r="CD46" s="525"/>
      <c r="CE46" s="525"/>
      <c r="CF46" s="525"/>
      <c r="CG46" s="525"/>
      <c r="CH46" s="525"/>
      <c r="CI46" s="525"/>
      <c r="CJ46" s="525"/>
      <c r="CK46" s="525"/>
      <c r="CL46" s="525"/>
      <c r="CM46" s="525"/>
      <c r="CN46" s="525"/>
      <c r="CO46" s="525"/>
      <c r="CP46" s="525"/>
      <c r="CQ46" s="525"/>
      <c r="CR46" s="525"/>
      <c r="CS46" s="525"/>
      <c r="CT46" s="525"/>
      <c r="CU46" s="525"/>
      <c r="CV46" s="525"/>
      <c r="CW46" s="525"/>
      <c r="CX46" s="525"/>
      <c r="CY46" s="525"/>
      <c r="CZ46" s="525"/>
      <c r="DA46" s="525"/>
      <c r="DB46" s="525"/>
      <c r="DC46" s="525"/>
      <c r="DD46" s="526"/>
      <c r="DE46" s="372"/>
      <c r="DF46" s="257"/>
      <c r="DG46" s="373"/>
      <c r="DH46" s="933"/>
      <c r="DI46" s="933"/>
      <c r="DJ46" s="933"/>
      <c r="DK46" s="937"/>
      <c r="DL46" s="937"/>
      <c r="DM46" s="937"/>
      <c r="DN46" s="937"/>
      <c r="DO46" s="937"/>
      <c r="DP46" s="937"/>
      <c r="DQ46" s="937"/>
      <c r="DR46" s="937"/>
      <c r="DS46" s="937"/>
    </row>
    <row r="47" spans="1:123" x14ac:dyDescent="0.15">
      <c r="A47" s="618" t="s">
        <v>0</v>
      </c>
      <c r="B47" s="618" t="s">
        <v>42</v>
      </c>
      <c r="C47" s="564" t="s">
        <v>46</v>
      </c>
      <c r="D47" s="564" t="s">
        <v>48</v>
      </c>
      <c r="E47" s="564" t="s">
        <v>47</v>
      </c>
      <c r="F47" s="564" t="s">
        <v>48</v>
      </c>
      <c r="G47" s="564" t="s">
        <v>251</v>
      </c>
      <c r="H47" s="564" t="s">
        <v>252</v>
      </c>
      <c r="I47" s="564" t="s">
        <v>251</v>
      </c>
      <c r="J47" s="564" t="s">
        <v>252</v>
      </c>
      <c r="K47" s="564" t="s">
        <v>125</v>
      </c>
      <c r="L47" s="564" t="s">
        <v>125</v>
      </c>
      <c r="M47" s="564" t="s">
        <v>62</v>
      </c>
      <c r="N47" s="564" t="s">
        <v>62</v>
      </c>
      <c r="O47" s="564" t="s">
        <v>127</v>
      </c>
      <c r="P47" s="564" t="s">
        <v>127</v>
      </c>
      <c r="Q47" s="564" t="s">
        <v>44</v>
      </c>
      <c r="R47" s="564" t="s">
        <v>44</v>
      </c>
      <c r="S47" s="564" t="s">
        <v>45</v>
      </c>
      <c r="T47" s="564" t="s">
        <v>45</v>
      </c>
      <c r="U47" s="564" t="s">
        <v>333</v>
      </c>
      <c r="V47" s="564" t="s">
        <v>333</v>
      </c>
      <c r="W47" s="564" t="s">
        <v>44</v>
      </c>
      <c r="X47" s="564" t="s">
        <v>44</v>
      </c>
      <c r="Y47" s="564" t="s">
        <v>267</v>
      </c>
      <c r="Z47" s="564" t="s">
        <v>267</v>
      </c>
      <c r="AA47" s="564" t="s">
        <v>126</v>
      </c>
      <c r="AB47" s="564" t="s">
        <v>126</v>
      </c>
      <c r="AC47" s="564" t="s">
        <v>10</v>
      </c>
      <c r="AD47" s="564" t="s">
        <v>10</v>
      </c>
      <c r="AE47" s="32" t="s">
        <v>817</v>
      </c>
      <c r="AF47" s="32" t="s">
        <v>817</v>
      </c>
      <c r="AG47" s="564" t="s">
        <v>722</v>
      </c>
      <c r="AH47" s="564" t="s">
        <v>722</v>
      </c>
      <c r="AI47" s="564" t="s">
        <v>87</v>
      </c>
      <c r="AJ47" s="564" t="s">
        <v>87</v>
      </c>
      <c r="AK47" s="564" t="s">
        <v>87</v>
      </c>
      <c r="AL47" s="564" t="s">
        <v>87</v>
      </c>
      <c r="AM47" s="564" t="s">
        <v>337</v>
      </c>
      <c r="AN47" s="564" t="s">
        <v>566</v>
      </c>
      <c r="AO47" s="564" t="s">
        <v>337</v>
      </c>
      <c r="AP47" s="564" t="s">
        <v>337</v>
      </c>
      <c r="AQ47" s="564" t="s">
        <v>337</v>
      </c>
      <c r="AR47" s="564" t="s">
        <v>336</v>
      </c>
      <c r="AS47" s="564" t="s">
        <v>293</v>
      </c>
      <c r="AT47" s="564" t="s">
        <v>293</v>
      </c>
      <c r="AU47" s="564" t="s">
        <v>293</v>
      </c>
      <c r="AV47" s="564" t="s">
        <v>293</v>
      </c>
      <c r="AW47" s="564" t="s">
        <v>293</v>
      </c>
      <c r="AX47" s="564" t="s">
        <v>293</v>
      </c>
      <c r="AY47" s="564" t="s">
        <v>323</v>
      </c>
      <c r="AZ47" s="564" t="s">
        <v>323</v>
      </c>
      <c r="BA47" s="564" t="s">
        <v>323</v>
      </c>
      <c r="BB47" s="564" t="s">
        <v>323</v>
      </c>
      <c r="BC47" s="564" t="s">
        <v>323</v>
      </c>
      <c r="BD47" s="564" t="s">
        <v>323</v>
      </c>
      <c r="BE47" s="606" t="s">
        <v>324</v>
      </c>
      <c r="BF47" s="606" t="s">
        <v>324</v>
      </c>
      <c r="BG47" s="131"/>
      <c r="BH47" s="131"/>
      <c r="BI47" s="564" t="s">
        <v>18</v>
      </c>
      <c r="BJ47" s="131"/>
      <c r="BK47" s="564" t="s">
        <v>84</v>
      </c>
      <c r="BL47" s="564" t="s">
        <v>84</v>
      </c>
      <c r="BM47" s="564" t="s">
        <v>84</v>
      </c>
      <c r="BN47" s="564" t="s">
        <v>84</v>
      </c>
      <c r="BO47" s="564" t="s">
        <v>10</v>
      </c>
      <c r="BP47" s="32" t="s">
        <v>817</v>
      </c>
      <c r="BQ47" s="564" t="s">
        <v>69</v>
      </c>
      <c r="BR47" s="564" t="s">
        <v>62</v>
      </c>
      <c r="BS47" s="564" t="s">
        <v>336</v>
      </c>
      <c r="BT47" s="606" t="s">
        <v>291</v>
      </c>
      <c r="BU47" s="606" t="s">
        <v>292</v>
      </c>
      <c r="BV47" s="606" t="s">
        <v>2</v>
      </c>
      <c r="BW47" s="606" t="s">
        <v>2</v>
      </c>
      <c r="BX47" s="564" t="s">
        <v>133</v>
      </c>
      <c r="BY47" s="564" t="s">
        <v>261</v>
      </c>
      <c r="BZ47" s="564" t="s">
        <v>261</v>
      </c>
      <c r="CA47" s="564" t="s">
        <v>261</v>
      </c>
      <c r="CB47" s="564" t="s">
        <v>261</v>
      </c>
      <c r="CC47" s="564" t="s">
        <v>254</v>
      </c>
      <c r="CD47" s="564" t="s">
        <v>254</v>
      </c>
      <c r="CE47" s="564" t="s">
        <v>254</v>
      </c>
      <c r="CF47" s="564" t="s">
        <v>254</v>
      </c>
      <c r="CG47" s="564" t="s">
        <v>254</v>
      </c>
      <c r="CH47" s="564" t="s">
        <v>254</v>
      </c>
      <c r="CI47" s="564" t="s">
        <v>342</v>
      </c>
      <c r="CJ47" s="564" t="s">
        <v>342</v>
      </c>
      <c r="CK47" s="564" t="s">
        <v>342</v>
      </c>
      <c r="CL47" s="564" t="s">
        <v>342</v>
      </c>
      <c r="CM47" s="564" t="s">
        <v>342</v>
      </c>
      <c r="CN47" s="564" t="s">
        <v>342</v>
      </c>
      <c r="CO47" s="606" t="s">
        <v>344</v>
      </c>
      <c r="CP47" s="606" t="s">
        <v>344</v>
      </c>
      <c r="CQ47" s="606" t="s">
        <v>344</v>
      </c>
      <c r="CR47" s="606" t="s">
        <v>344</v>
      </c>
      <c r="CS47" s="606" t="s">
        <v>344</v>
      </c>
      <c r="CT47" s="606" t="s">
        <v>344</v>
      </c>
      <c r="CU47" s="606" t="s">
        <v>348</v>
      </c>
      <c r="CV47" s="606" t="s">
        <v>348</v>
      </c>
      <c r="CW47" s="606" t="s">
        <v>348</v>
      </c>
      <c r="CX47" s="606" t="s">
        <v>348</v>
      </c>
      <c r="CY47" s="606" t="s">
        <v>556</v>
      </c>
      <c r="CZ47" s="606" t="s">
        <v>556</v>
      </c>
      <c r="DA47" s="606" t="s">
        <v>556</v>
      </c>
      <c r="DB47" s="606" t="s">
        <v>556</v>
      </c>
      <c r="DC47" s="606" t="s">
        <v>583</v>
      </c>
      <c r="DD47" s="607" t="s">
        <v>583</v>
      </c>
      <c r="DE47" s="265" t="s">
        <v>229</v>
      </c>
      <c r="DF47" s="62" t="s">
        <v>758</v>
      </c>
      <c r="DG47" s="464" t="s">
        <v>758</v>
      </c>
      <c r="DH47" s="48" t="s">
        <v>921</v>
      </c>
      <c r="DI47" s="48" t="s">
        <v>936</v>
      </c>
      <c r="DJ47" s="935" t="s">
        <v>938</v>
      </c>
      <c r="DK47" s="939" t="s">
        <v>922</v>
      </c>
      <c r="DL47" s="48" t="s">
        <v>936</v>
      </c>
      <c r="DM47" s="935" t="s">
        <v>938</v>
      </c>
      <c r="DN47" s="935" t="s">
        <v>925</v>
      </c>
      <c r="DO47" s="147" t="s">
        <v>938</v>
      </c>
      <c r="DP47" s="147" t="s">
        <v>938</v>
      </c>
      <c r="DQ47" s="147" t="s">
        <v>888</v>
      </c>
      <c r="DR47" s="147" t="s">
        <v>938</v>
      </c>
      <c r="DS47" s="147" t="s">
        <v>938</v>
      </c>
    </row>
    <row r="48" spans="1:123" ht="14" thickBot="1" x14ac:dyDescent="0.2">
      <c r="A48" s="735" t="s">
        <v>723</v>
      </c>
      <c r="B48" s="262"/>
      <c r="C48" s="84" t="s">
        <v>321</v>
      </c>
      <c r="D48" s="84"/>
      <c r="E48" s="84" t="s">
        <v>322</v>
      </c>
      <c r="F48" s="84"/>
      <c r="G48" s="84" t="s">
        <v>321</v>
      </c>
      <c r="H48" s="84" t="s">
        <v>332</v>
      </c>
      <c r="I48" s="84" t="s">
        <v>322</v>
      </c>
      <c r="J48" s="84" t="s">
        <v>322</v>
      </c>
      <c r="K48" s="84" t="s">
        <v>95</v>
      </c>
      <c r="L48" s="84" t="s">
        <v>96</v>
      </c>
      <c r="M48" s="84" t="s">
        <v>88</v>
      </c>
      <c r="N48" s="84" t="s">
        <v>89</v>
      </c>
      <c r="O48" s="84" t="s">
        <v>334</v>
      </c>
      <c r="P48" s="84" t="s">
        <v>335</v>
      </c>
      <c r="Q48" s="84" t="s">
        <v>63</v>
      </c>
      <c r="R48" s="84" t="s">
        <v>66</v>
      </c>
      <c r="S48" s="84" t="s">
        <v>64</v>
      </c>
      <c r="T48" s="84" t="s">
        <v>65</v>
      </c>
      <c r="U48" s="84" t="s">
        <v>64</v>
      </c>
      <c r="V48" s="84" t="s">
        <v>65</v>
      </c>
      <c r="W48" s="84" t="s">
        <v>98</v>
      </c>
      <c r="X48" s="84" t="s">
        <v>99</v>
      </c>
      <c r="Y48" s="84" t="s">
        <v>128</v>
      </c>
      <c r="Z48" s="84" t="s">
        <v>129</v>
      </c>
      <c r="AA48" s="84" t="s">
        <v>95</v>
      </c>
      <c r="AB48" s="84" t="s">
        <v>96</v>
      </c>
      <c r="AC48" s="84" t="s">
        <v>83</v>
      </c>
      <c r="AD48" s="84" t="s">
        <v>82</v>
      </c>
      <c r="AE48" s="13" t="s">
        <v>83</v>
      </c>
      <c r="AF48" s="13" t="s">
        <v>82</v>
      </c>
      <c r="AG48" s="84" t="s">
        <v>70</v>
      </c>
      <c r="AH48" s="84" t="s">
        <v>71</v>
      </c>
      <c r="AI48" s="84" t="s">
        <v>90</v>
      </c>
      <c r="AJ48" s="84" t="s">
        <v>91</v>
      </c>
      <c r="AK48" s="84" t="s">
        <v>95</v>
      </c>
      <c r="AL48" s="84" t="s">
        <v>96</v>
      </c>
      <c r="AM48" s="84" t="s">
        <v>564</v>
      </c>
      <c r="AN48" s="84" t="s">
        <v>565</v>
      </c>
      <c r="AO48" s="84" t="s">
        <v>338</v>
      </c>
      <c r="AP48" s="84" t="s">
        <v>339</v>
      </c>
      <c r="AQ48" s="84" t="s">
        <v>340</v>
      </c>
      <c r="AR48" s="84" t="s">
        <v>341</v>
      </c>
      <c r="AS48" s="84" t="s">
        <v>88</v>
      </c>
      <c r="AT48" s="84" t="s">
        <v>89</v>
      </c>
      <c r="AU48" s="84" t="s">
        <v>90</v>
      </c>
      <c r="AV48" s="84" t="s">
        <v>91</v>
      </c>
      <c r="AW48" s="84" t="s">
        <v>95</v>
      </c>
      <c r="AX48" s="84" t="s">
        <v>96</v>
      </c>
      <c r="AY48" s="84" t="s">
        <v>88</v>
      </c>
      <c r="AZ48" s="84" t="s">
        <v>89</v>
      </c>
      <c r="BA48" s="84" t="s">
        <v>90</v>
      </c>
      <c r="BB48" s="84" t="s">
        <v>91</v>
      </c>
      <c r="BC48" s="84" t="s">
        <v>95</v>
      </c>
      <c r="BD48" s="84" t="s">
        <v>96</v>
      </c>
      <c r="BE48" s="462" t="s">
        <v>325</v>
      </c>
      <c r="BF48" s="462" t="s">
        <v>326</v>
      </c>
      <c r="BG48" s="84" t="s">
        <v>75</v>
      </c>
      <c r="BH48" s="84" t="s">
        <v>72</v>
      </c>
      <c r="BI48" s="84" t="s">
        <v>73</v>
      </c>
      <c r="BJ48" s="84" t="s">
        <v>74</v>
      </c>
      <c r="BK48" s="84" t="s">
        <v>73</v>
      </c>
      <c r="BL48" s="84" t="s">
        <v>85</v>
      </c>
      <c r="BM48" s="84" t="s">
        <v>288</v>
      </c>
      <c r="BN48" s="84" t="s">
        <v>289</v>
      </c>
      <c r="BO48" s="84" t="s">
        <v>86</v>
      </c>
      <c r="BP48" s="13" t="s">
        <v>86</v>
      </c>
      <c r="BQ48" s="84" t="s">
        <v>92</v>
      </c>
      <c r="BR48" s="84" t="s">
        <v>94</v>
      </c>
      <c r="BS48" s="84" t="s">
        <v>94</v>
      </c>
      <c r="BT48" s="462" t="s">
        <v>290</v>
      </c>
      <c r="BU48" s="462" t="s">
        <v>290</v>
      </c>
      <c r="BV48" s="462" t="s">
        <v>298</v>
      </c>
      <c r="BW48" s="462" t="s">
        <v>299</v>
      </c>
      <c r="BX48" s="84" t="s">
        <v>255</v>
      </c>
      <c r="BY48" s="84" t="s">
        <v>256</v>
      </c>
      <c r="BZ48" s="84" t="s">
        <v>257</v>
      </c>
      <c r="CA48" s="84" t="s">
        <v>258</v>
      </c>
      <c r="CB48" s="84" t="s">
        <v>259</v>
      </c>
      <c r="CC48" s="84" t="s">
        <v>260</v>
      </c>
      <c r="CD48" s="84" t="s">
        <v>327</v>
      </c>
      <c r="CE48" s="84" t="s">
        <v>264</v>
      </c>
      <c r="CF48" s="84" t="s">
        <v>265</v>
      </c>
      <c r="CG48" s="84" t="s">
        <v>262</v>
      </c>
      <c r="CH48" s="84" t="s">
        <v>263</v>
      </c>
      <c r="CI48" s="84" t="s">
        <v>88</v>
      </c>
      <c r="CJ48" s="84" t="s">
        <v>343</v>
      </c>
      <c r="CK48" s="84" t="s">
        <v>90</v>
      </c>
      <c r="CL48" s="84" t="s">
        <v>91</v>
      </c>
      <c r="CM48" s="84" t="s">
        <v>95</v>
      </c>
      <c r="CN48" s="84" t="s">
        <v>96</v>
      </c>
      <c r="CO48" s="462" t="s">
        <v>88</v>
      </c>
      <c r="CP48" s="462" t="s">
        <v>89</v>
      </c>
      <c r="CQ48" s="462" t="s">
        <v>90</v>
      </c>
      <c r="CR48" s="462" t="s">
        <v>346</v>
      </c>
      <c r="CS48" s="462" t="s">
        <v>347</v>
      </c>
      <c r="CT48" s="462" t="s">
        <v>345</v>
      </c>
      <c r="CU48" s="462" t="s">
        <v>349</v>
      </c>
      <c r="CV48" s="462" t="s">
        <v>350</v>
      </c>
      <c r="CW48" s="462" t="s">
        <v>579</v>
      </c>
      <c r="CX48" s="462" t="s">
        <v>580</v>
      </c>
      <c r="CY48" s="84" t="s">
        <v>586</v>
      </c>
      <c r="CZ48" s="84" t="s">
        <v>89</v>
      </c>
      <c r="DA48" s="84" t="s">
        <v>582</v>
      </c>
      <c r="DB48" s="84" t="s">
        <v>577</v>
      </c>
      <c r="DC48" s="462" t="s">
        <v>584</v>
      </c>
      <c r="DD48" s="609" t="s">
        <v>585</v>
      </c>
      <c r="DE48" s="465" t="s">
        <v>757</v>
      </c>
      <c r="DF48" s="581" t="s">
        <v>760</v>
      </c>
      <c r="DG48" s="582" t="s">
        <v>759</v>
      </c>
      <c r="DH48" s="89" t="s">
        <v>10</v>
      </c>
      <c r="DI48" s="89" t="s">
        <v>937</v>
      </c>
      <c r="DJ48" s="936" t="s">
        <v>939</v>
      </c>
      <c r="DK48" s="936" t="s">
        <v>10</v>
      </c>
      <c r="DL48" s="89" t="s">
        <v>937</v>
      </c>
      <c r="DM48" s="936" t="s">
        <v>939</v>
      </c>
      <c r="DN48" s="936" t="s">
        <v>10</v>
      </c>
      <c r="DO48" s="936" t="s">
        <v>937</v>
      </c>
      <c r="DP48" s="936" t="s">
        <v>939</v>
      </c>
      <c r="DQ48" s="936" t="s">
        <v>951</v>
      </c>
      <c r="DR48" s="936" t="s">
        <v>937</v>
      </c>
      <c r="DS48" s="936" t="s">
        <v>939</v>
      </c>
    </row>
    <row r="49" spans="1:123" x14ac:dyDescent="0.15">
      <c r="A49" s="667" t="s">
        <v>18</v>
      </c>
      <c r="B49" s="701" t="s">
        <v>303</v>
      </c>
      <c r="C49" s="78">
        <v>14.75</v>
      </c>
      <c r="D49" s="78">
        <f>+(C49*0.3048)</f>
        <v>4.4958</v>
      </c>
      <c r="E49" s="78">
        <v>27</v>
      </c>
      <c r="F49" s="78">
        <f>+(E49*0.3048)</f>
        <v>8.2295999999999996</v>
      </c>
      <c r="G49" s="131" t="s">
        <v>18</v>
      </c>
      <c r="H49" s="131" t="s">
        <v>18</v>
      </c>
      <c r="I49" s="131" t="s">
        <v>18</v>
      </c>
      <c r="J49" s="131" t="s">
        <v>18</v>
      </c>
      <c r="K49" s="131" t="s">
        <v>18</v>
      </c>
      <c r="L49" s="131" t="s">
        <v>18</v>
      </c>
      <c r="M49" s="78">
        <v>33</v>
      </c>
      <c r="N49" s="78">
        <f>+M49*0.3048</f>
        <v>10.058400000000001</v>
      </c>
      <c r="O49" s="78">
        <v>58</v>
      </c>
      <c r="P49" s="78">
        <f>+O49*0.3048</f>
        <v>17.6784</v>
      </c>
      <c r="Q49" s="78">
        <v>123.5</v>
      </c>
      <c r="R49" s="78">
        <f>+Q49*0.3048</f>
        <v>37.642800000000001</v>
      </c>
      <c r="S49" s="78">
        <v>165.25</v>
      </c>
      <c r="T49" s="78">
        <f>+S49*0.3048</f>
        <v>50.368200000000002</v>
      </c>
      <c r="U49" s="78"/>
      <c r="V49" s="78"/>
      <c r="W49" s="78"/>
      <c r="X49" s="78"/>
      <c r="Y49" s="78"/>
      <c r="Z49" s="78"/>
      <c r="AA49" s="78"/>
      <c r="AB49" s="78"/>
      <c r="AC49" s="78" t="s">
        <v>18</v>
      </c>
      <c r="AD49" s="78" t="s">
        <v>18</v>
      </c>
      <c r="AE49" s="78"/>
      <c r="AF49" s="78"/>
      <c r="AG49" s="78" t="s">
        <v>18</v>
      </c>
      <c r="AH49" s="78"/>
      <c r="AI49" s="78" t="s">
        <v>18</v>
      </c>
      <c r="AJ49" s="78"/>
      <c r="AK49" s="78"/>
      <c r="AL49" s="78"/>
      <c r="AM49" s="78"/>
      <c r="AN49" s="78"/>
      <c r="AO49" s="78"/>
      <c r="AP49" s="78"/>
      <c r="AQ49" s="78"/>
      <c r="AR49" s="78"/>
      <c r="AS49" s="131">
        <v>5</v>
      </c>
      <c r="AT49" s="78">
        <f>+(AS49*0.3048)</f>
        <v>1.524</v>
      </c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>
        <v>2.5</v>
      </c>
      <c r="BF49" s="78">
        <f>+BE49*0.3048</f>
        <v>0.76200000000000001</v>
      </c>
      <c r="BG49" s="78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 t="s">
        <v>241</v>
      </c>
      <c r="BY49" s="133" t="s">
        <v>18</v>
      </c>
      <c r="BZ49" s="133" t="s">
        <v>18</v>
      </c>
      <c r="CA49" s="134"/>
      <c r="CB49" s="134"/>
      <c r="CC49" s="78" t="s">
        <v>18</v>
      </c>
      <c r="CD49" s="78" t="s">
        <v>18</v>
      </c>
      <c r="CE49" s="78"/>
      <c r="CF49" s="78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78"/>
      <c r="CS49" s="78"/>
      <c r="CT49" s="78"/>
      <c r="CU49" s="78"/>
      <c r="CV49" s="78"/>
      <c r="CW49" s="78"/>
      <c r="CX49" s="78"/>
      <c r="CY49" s="78"/>
      <c r="CZ49" s="78"/>
      <c r="DA49" s="78"/>
      <c r="DB49" s="78"/>
      <c r="DC49" s="78"/>
      <c r="DD49" s="194"/>
      <c r="DE49" s="80"/>
      <c r="DF49" s="14"/>
      <c r="DG49" s="136"/>
      <c r="DH49" s="87"/>
      <c r="DI49" s="87"/>
      <c r="DJ49" s="87"/>
      <c r="DK49" s="57"/>
      <c r="DL49" s="57"/>
      <c r="DM49" s="57"/>
      <c r="DN49" s="57"/>
      <c r="DO49" s="57"/>
      <c r="DP49" s="57"/>
      <c r="DQ49" s="57"/>
      <c r="DR49" s="57"/>
      <c r="DS49" s="57"/>
    </row>
    <row r="50" spans="1:123" x14ac:dyDescent="0.15">
      <c r="A50" s="262" t="s">
        <v>18</v>
      </c>
      <c r="B50" s="702" t="s">
        <v>305</v>
      </c>
      <c r="C50" s="38">
        <v>14.667</v>
      </c>
      <c r="D50" s="38">
        <f>+(C50*0.3048)</f>
        <v>4.4705016000000004</v>
      </c>
      <c r="E50" s="38">
        <v>15.2</v>
      </c>
      <c r="F50" s="38">
        <f>+(E50*0.3048)</f>
        <v>4.6329599999999997</v>
      </c>
      <c r="G50" s="113" t="s">
        <v>18</v>
      </c>
      <c r="H50" s="113" t="s">
        <v>18</v>
      </c>
      <c r="I50" s="113" t="s">
        <v>18</v>
      </c>
      <c r="J50" s="113" t="s">
        <v>18</v>
      </c>
      <c r="K50" s="113" t="s">
        <v>18</v>
      </c>
      <c r="L50" s="113" t="s">
        <v>18</v>
      </c>
      <c r="M50" s="38">
        <v>39</v>
      </c>
      <c r="N50" s="38">
        <f>+M50*0.3048</f>
        <v>11.8872</v>
      </c>
      <c r="O50" s="38">
        <v>54.5</v>
      </c>
      <c r="P50" s="38">
        <f>+O50*0.3048</f>
        <v>16.611599999999999</v>
      </c>
      <c r="Q50" s="38">
        <v>123.5</v>
      </c>
      <c r="R50" s="38">
        <f>+Q50*0.3048</f>
        <v>37.642800000000001</v>
      </c>
      <c r="S50" s="38">
        <v>153.36699999999999</v>
      </c>
      <c r="T50" s="38">
        <f>+S50*0.3048</f>
        <v>46.746261599999997</v>
      </c>
      <c r="U50" s="38"/>
      <c r="V50" s="38"/>
      <c r="W50" s="38"/>
      <c r="X50" s="38"/>
      <c r="Y50" s="38"/>
      <c r="Z50" s="38"/>
      <c r="AA50" s="38"/>
      <c r="AB50" s="38"/>
      <c r="AC50" s="38" t="s">
        <v>18</v>
      </c>
      <c r="AD50" s="38" t="s">
        <v>18</v>
      </c>
      <c r="AE50" s="38"/>
      <c r="AF50" s="38"/>
      <c r="AG50" s="38" t="s">
        <v>18</v>
      </c>
      <c r="AH50" s="38" t="s">
        <v>18</v>
      </c>
      <c r="AI50" s="38"/>
      <c r="AJ50" s="38"/>
      <c r="AK50" s="38"/>
      <c r="AL50" s="38"/>
      <c r="AM50" s="38"/>
      <c r="AN50" s="38"/>
      <c r="AO50" s="38" t="s">
        <v>18</v>
      </c>
      <c r="AP50" s="38"/>
      <c r="AQ50" s="38"/>
      <c r="AR50" s="38"/>
      <c r="AS50" s="38">
        <v>5</v>
      </c>
      <c r="AT50" s="38">
        <f>+(AS50*0.3048)</f>
        <v>1.524</v>
      </c>
      <c r="AU50" s="38"/>
      <c r="AV50" s="38"/>
      <c r="AW50" s="38"/>
      <c r="AX50" s="38" t="s">
        <v>18</v>
      </c>
      <c r="AY50" s="38"/>
      <c r="AZ50" s="38"/>
      <c r="BA50" s="38"/>
      <c r="BB50" s="38"/>
      <c r="BC50" s="38"/>
      <c r="BD50" s="38"/>
      <c r="BE50" s="38">
        <v>0</v>
      </c>
      <c r="BF50" s="38">
        <v>0</v>
      </c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8"/>
      <c r="BS50" s="38"/>
      <c r="BT50" s="38"/>
      <c r="BU50" s="38"/>
      <c r="BV50" s="38"/>
      <c r="BW50" s="38"/>
      <c r="BX50" s="38" t="s">
        <v>243</v>
      </c>
      <c r="BY50" s="38" t="s">
        <v>18</v>
      </c>
      <c r="BZ50" s="113" t="s">
        <v>18</v>
      </c>
      <c r="CA50" s="38"/>
      <c r="CB50" s="38"/>
      <c r="CC50" s="38" t="s">
        <v>18</v>
      </c>
      <c r="CD50" s="38" t="s">
        <v>18</v>
      </c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  <c r="CV50" s="38"/>
      <c r="CW50" s="38"/>
      <c r="CX50" s="38"/>
      <c r="CY50" s="38"/>
      <c r="CZ50" s="38"/>
      <c r="DA50" s="38"/>
      <c r="DB50" s="38"/>
      <c r="DC50" s="38"/>
      <c r="DD50" s="172"/>
      <c r="DE50" s="80"/>
      <c r="DF50" s="14"/>
      <c r="DG50" s="136"/>
      <c r="DH50" s="80"/>
      <c r="DI50" s="80"/>
      <c r="DJ50" s="80"/>
      <c r="DK50" s="94"/>
      <c r="DL50" s="94"/>
      <c r="DM50" s="94"/>
      <c r="DN50" s="94"/>
      <c r="DO50" s="94"/>
      <c r="DP50" s="94"/>
      <c r="DQ50" s="94"/>
      <c r="DR50" s="94"/>
      <c r="DS50" s="94"/>
    </row>
    <row r="51" spans="1:123" x14ac:dyDescent="0.15">
      <c r="A51" s="262" t="s">
        <v>18</v>
      </c>
      <c r="B51" s="702" t="s">
        <v>306</v>
      </c>
      <c r="C51" s="38">
        <v>13</v>
      </c>
      <c r="D51" s="38">
        <f>+(C51*0.3048)</f>
        <v>3.9624000000000001</v>
      </c>
      <c r="E51" s="38">
        <v>20</v>
      </c>
      <c r="F51" s="38">
        <f>+(E51*0.3048)</f>
        <v>6.0960000000000001</v>
      </c>
      <c r="G51" s="113" t="s">
        <v>18</v>
      </c>
      <c r="H51" s="113" t="s">
        <v>18</v>
      </c>
      <c r="I51" s="113" t="s">
        <v>18</v>
      </c>
      <c r="J51" s="113" t="s">
        <v>18</v>
      </c>
      <c r="K51" s="113" t="s">
        <v>18</v>
      </c>
      <c r="L51" s="113" t="s">
        <v>18</v>
      </c>
      <c r="M51" s="38">
        <v>35.5</v>
      </c>
      <c r="N51" s="38">
        <f>+M51*0.3048</f>
        <v>10.820400000000001</v>
      </c>
      <c r="O51" s="38">
        <v>58</v>
      </c>
      <c r="P51" s="38">
        <f>+O51*0.3048</f>
        <v>17.6784</v>
      </c>
      <c r="Q51" s="38">
        <v>123.5</v>
      </c>
      <c r="R51" s="38">
        <f>+Q51*0.3048</f>
        <v>37.642800000000001</v>
      </c>
      <c r="S51" s="38">
        <v>156.5</v>
      </c>
      <c r="T51" s="38">
        <f>+S51*0.3048</f>
        <v>47.7012</v>
      </c>
      <c r="U51" s="38"/>
      <c r="V51" s="38"/>
      <c r="W51" s="38"/>
      <c r="X51" s="38"/>
      <c r="Y51" s="38"/>
      <c r="Z51" s="38"/>
      <c r="AA51" s="38"/>
      <c r="AB51" s="38"/>
      <c r="AC51" s="38" t="s">
        <v>18</v>
      </c>
      <c r="AD51" s="38" t="s">
        <v>18</v>
      </c>
      <c r="AE51" s="38"/>
      <c r="AF51" s="38"/>
      <c r="AG51" s="38" t="s">
        <v>18</v>
      </c>
      <c r="AH51" s="38"/>
      <c r="AI51" s="38"/>
      <c r="AJ51" s="38"/>
      <c r="AK51" s="38"/>
      <c r="AL51" s="38"/>
      <c r="AM51" s="38"/>
      <c r="AN51" s="38" t="s">
        <v>567</v>
      </c>
      <c r="AO51" s="38"/>
      <c r="AP51" s="38" t="s">
        <v>18</v>
      </c>
      <c r="AQ51" s="38"/>
      <c r="AR51" s="38"/>
      <c r="AS51" s="38">
        <v>5</v>
      </c>
      <c r="AT51" s="38">
        <f>+(AS51*0.3048)</f>
        <v>1.524</v>
      </c>
      <c r="AU51" s="38" t="s">
        <v>18</v>
      </c>
      <c r="AV51" s="38"/>
      <c r="AW51" s="38"/>
      <c r="AX51" s="38"/>
      <c r="AY51" s="38"/>
      <c r="AZ51" s="38"/>
      <c r="BA51" s="38"/>
      <c r="BB51" s="38"/>
      <c r="BC51" s="38"/>
      <c r="BD51" s="38"/>
      <c r="BE51" s="38">
        <v>0</v>
      </c>
      <c r="BF51" s="38">
        <v>0</v>
      </c>
      <c r="BG51" s="38"/>
      <c r="BH51" s="38"/>
      <c r="BI51" s="38"/>
      <c r="BJ51" s="38"/>
      <c r="BK51" s="38" t="s">
        <v>18</v>
      </c>
      <c r="BL51" s="38"/>
      <c r="BM51" s="38" t="s">
        <v>18</v>
      </c>
      <c r="BN51" s="38"/>
      <c r="BO51" s="38"/>
      <c r="BP51" s="38"/>
      <c r="BQ51" s="38"/>
      <c r="BR51" s="38"/>
      <c r="BS51" s="38"/>
      <c r="BT51" s="38"/>
      <c r="BU51" s="38"/>
      <c r="BV51" s="38"/>
      <c r="BW51" s="38"/>
      <c r="BX51" s="38" t="s">
        <v>244</v>
      </c>
      <c r="BY51" s="38" t="s">
        <v>18</v>
      </c>
      <c r="BZ51" s="113" t="s">
        <v>18</v>
      </c>
      <c r="CA51" s="38"/>
      <c r="CB51" s="38"/>
      <c r="CC51" s="38" t="s">
        <v>18</v>
      </c>
      <c r="CD51" s="38" t="s">
        <v>18</v>
      </c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  <c r="CV51" s="38"/>
      <c r="CW51" s="38"/>
      <c r="CX51" s="38"/>
      <c r="CY51" s="38"/>
      <c r="CZ51" s="38"/>
      <c r="DA51" s="38"/>
      <c r="DB51" s="38"/>
      <c r="DC51" s="38"/>
      <c r="DD51" s="172"/>
      <c r="DE51" s="80"/>
      <c r="DF51" s="14"/>
      <c r="DG51" s="136"/>
      <c r="DH51" s="80"/>
      <c r="DI51" s="80"/>
      <c r="DJ51" s="80"/>
      <c r="DK51" s="94"/>
      <c r="DL51" s="94"/>
      <c r="DM51" s="94"/>
      <c r="DN51" s="94"/>
      <c r="DO51" s="94"/>
      <c r="DP51" s="94"/>
      <c r="DQ51" s="94"/>
      <c r="DR51" s="94"/>
      <c r="DS51" s="94"/>
    </row>
    <row r="52" spans="1:123" ht="14" thickBot="1" x14ac:dyDescent="0.2">
      <c r="A52" s="211"/>
      <c r="B52" s="211"/>
      <c r="C52" s="38"/>
      <c r="D52" s="38"/>
      <c r="E52" s="38"/>
      <c r="F52" s="38"/>
      <c r="G52" s="38"/>
      <c r="H52" s="38"/>
      <c r="I52" s="38" t="s">
        <v>18</v>
      </c>
      <c r="J52" s="38"/>
      <c r="K52" s="38"/>
      <c r="L52" s="38"/>
      <c r="M52" s="38" t="s">
        <v>18</v>
      </c>
      <c r="N52" s="38" t="s">
        <v>18</v>
      </c>
      <c r="O52" s="38" t="s">
        <v>18</v>
      </c>
      <c r="P52" s="38" t="s">
        <v>18</v>
      </c>
      <c r="Q52" s="38" t="s">
        <v>18</v>
      </c>
      <c r="R52" s="38" t="s">
        <v>18</v>
      </c>
      <c r="S52" s="38" t="s">
        <v>18</v>
      </c>
      <c r="T52" s="38" t="s">
        <v>18</v>
      </c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113" t="s">
        <v>18</v>
      </c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38"/>
      <c r="BW52" s="38"/>
      <c r="BX52" s="25" t="s">
        <v>245</v>
      </c>
      <c r="BY52" s="38" t="s">
        <v>18</v>
      </c>
      <c r="BZ52" s="113" t="s">
        <v>18</v>
      </c>
      <c r="CA52" s="38"/>
      <c r="CB52" s="38"/>
      <c r="CC52" s="38" t="s">
        <v>18</v>
      </c>
      <c r="CD52" s="38" t="s">
        <v>18</v>
      </c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113" t="s">
        <v>18</v>
      </c>
      <c r="CR52" s="38"/>
      <c r="CS52" s="38"/>
      <c r="CT52" s="38"/>
      <c r="CU52" s="38"/>
      <c r="CV52" s="38"/>
      <c r="CW52" s="38"/>
      <c r="CX52" s="38"/>
      <c r="CY52" s="38"/>
      <c r="CZ52" s="38"/>
      <c r="DA52" s="38"/>
      <c r="DB52" s="38"/>
      <c r="DC52" s="38"/>
      <c r="DD52" s="172"/>
      <c r="DE52" s="80"/>
      <c r="DF52" s="14"/>
      <c r="DG52" s="136"/>
      <c r="DH52" s="80"/>
      <c r="DI52" s="80"/>
      <c r="DJ52" s="80"/>
      <c r="DK52" s="94"/>
      <c r="DL52" s="94"/>
      <c r="DM52" s="94"/>
      <c r="DN52" s="95"/>
      <c r="DO52" s="94"/>
      <c r="DP52" s="94"/>
      <c r="DQ52" s="94"/>
      <c r="DR52" s="94"/>
      <c r="DS52" s="94"/>
    </row>
    <row r="53" spans="1:123" ht="14" thickBot="1" x14ac:dyDescent="0.2">
      <c r="A53" s="211"/>
      <c r="B53" s="632" t="s">
        <v>97</v>
      </c>
      <c r="C53" s="65">
        <v>14</v>
      </c>
      <c r="D53" s="65">
        <f>+(C53*0.3048)</f>
        <v>4.2671999999999999</v>
      </c>
      <c r="E53" s="65">
        <v>20.8</v>
      </c>
      <c r="F53" s="65">
        <f>+(E53*0.3048)</f>
        <v>6.3398400000000006</v>
      </c>
      <c r="G53" s="128" t="s">
        <v>18</v>
      </c>
      <c r="H53" s="128"/>
      <c r="I53" s="128"/>
      <c r="J53" s="128"/>
      <c r="K53" s="128"/>
      <c r="L53" s="128"/>
      <c r="M53" s="65">
        <v>35.700000000000003</v>
      </c>
      <c r="N53" s="65">
        <f>+M53*0.3048</f>
        <v>10.881360000000001</v>
      </c>
      <c r="O53" s="65">
        <v>57</v>
      </c>
      <c r="P53" s="65">
        <f>+O53*0.3048</f>
        <v>17.3736</v>
      </c>
      <c r="Q53" s="65">
        <v>123.5</v>
      </c>
      <c r="R53" s="65">
        <v>37.6</v>
      </c>
      <c r="S53" s="65">
        <v>158.4</v>
      </c>
      <c r="T53" s="65">
        <f>+S53*0.3048</f>
        <v>48.280320000000003</v>
      </c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  <c r="AH53" s="128"/>
      <c r="AI53" s="128"/>
      <c r="AJ53" s="128"/>
      <c r="AK53" s="128"/>
      <c r="AL53" s="128"/>
      <c r="AM53" s="65">
        <v>10</v>
      </c>
      <c r="AN53" s="65">
        <f>+AM53*0.3048</f>
        <v>3.048</v>
      </c>
      <c r="AO53" s="128"/>
      <c r="AP53" s="128"/>
      <c r="AQ53" s="128"/>
      <c r="AR53" s="128"/>
      <c r="AS53" s="65">
        <v>5</v>
      </c>
      <c r="AT53" s="65">
        <f>+AS53*0.3048</f>
        <v>1.524</v>
      </c>
      <c r="AU53" s="128"/>
      <c r="AV53" s="128"/>
      <c r="AW53" s="128"/>
      <c r="AX53" s="128"/>
      <c r="AY53" s="128"/>
      <c r="AZ53" s="128"/>
      <c r="BA53" s="128"/>
      <c r="BB53" s="128"/>
      <c r="BC53" s="128"/>
      <c r="BD53" s="128"/>
      <c r="BE53" s="65">
        <v>0.79300000000000004</v>
      </c>
      <c r="BF53" s="65">
        <f>+BE53*0.3048</f>
        <v>0.24170640000000002</v>
      </c>
      <c r="BG53" s="128"/>
      <c r="BH53" s="128"/>
      <c r="BI53" s="128"/>
      <c r="BJ53" s="128"/>
      <c r="BK53" s="128"/>
      <c r="BL53" s="128"/>
      <c r="BM53" s="128"/>
      <c r="BN53" s="128"/>
      <c r="BO53" s="128"/>
      <c r="BP53" s="128"/>
      <c r="BQ53" s="128"/>
      <c r="BR53" s="128"/>
      <c r="BS53" s="128"/>
      <c r="BT53" s="128"/>
      <c r="BU53" s="128"/>
      <c r="BV53" s="128"/>
      <c r="BW53" s="128"/>
      <c r="BX53" s="128"/>
      <c r="BY53" s="65">
        <v>19.375</v>
      </c>
      <c r="BZ53" s="65">
        <f>+BY53*0.3048</f>
        <v>5.9055</v>
      </c>
      <c r="CA53" s="65">
        <f>109.75/6</f>
        <v>18.291666666666668</v>
      </c>
      <c r="CB53" s="65">
        <f>+(CA53*0.3048)</f>
        <v>5.5753000000000004</v>
      </c>
      <c r="CC53" s="128" t="s">
        <v>18</v>
      </c>
      <c r="CD53" s="128" t="s">
        <v>18</v>
      </c>
      <c r="CE53" s="128"/>
      <c r="CF53" s="128" t="s">
        <v>18</v>
      </c>
      <c r="CG53" s="128"/>
      <c r="CH53" s="128"/>
      <c r="CI53" s="65">
        <v>23</v>
      </c>
      <c r="CJ53" s="65">
        <f>+CI53*0.3048</f>
        <v>7.0104000000000006</v>
      </c>
      <c r="CK53" s="128"/>
      <c r="CL53" s="128"/>
      <c r="CM53" s="128"/>
      <c r="CN53" s="128"/>
      <c r="CO53" s="65">
        <v>19.375</v>
      </c>
      <c r="CP53" s="65">
        <f>+CO53*0.3048</f>
        <v>5.9055</v>
      </c>
      <c r="CQ53" s="128"/>
      <c r="CR53" s="128" t="s">
        <v>18</v>
      </c>
      <c r="CS53" s="128"/>
      <c r="CT53" s="128"/>
      <c r="CU53" s="128"/>
      <c r="CV53" s="128"/>
      <c r="CW53" s="128"/>
      <c r="CX53" s="128"/>
      <c r="CY53" s="736"/>
      <c r="CZ53" s="736"/>
      <c r="DA53" s="295"/>
      <c r="DB53" s="295"/>
      <c r="DC53" s="295"/>
      <c r="DD53" s="613"/>
      <c r="DE53" s="86"/>
      <c r="DF53" s="44"/>
      <c r="DG53" s="45"/>
      <c r="DH53" s="86"/>
      <c r="DI53" s="86"/>
      <c r="DJ53" s="86"/>
      <c r="DK53" s="934"/>
      <c r="DL53" s="934"/>
      <c r="DM53" s="934"/>
      <c r="DN53" s="934"/>
      <c r="DO53" s="934"/>
      <c r="DP53" s="934"/>
      <c r="DQ53" s="934"/>
      <c r="DR53" s="934"/>
      <c r="DS53" s="934"/>
    </row>
    <row r="54" spans="1:123" ht="14" thickBot="1" x14ac:dyDescent="0.2">
      <c r="A54" s="211"/>
      <c r="B54" s="632" t="s">
        <v>253</v>
      </c>
      <c r="C54" s="97" t="s">
        <v>18</v>
      </c>
      <c r="D54" s="97" t="s">
        <v>18</v>
      </c>
      <c r="E54" s="128"/>
      <c r="F54" s="128"/>
      <c r="G54" s="575">
        <v>2813.25</v>
      </c>
      <c r="H54" s="575">
        <f>+G54*0.3048</f>
        <v>857.47860000000003</v>
      </c>
      <c r="I54" s="575">
        <v>2588</v>
      </c>
      <c r="J54" s="575">
        <f>+I54*0.3048</f>
        <v>788.82240000000002</v>
      </c>
      <c r="K54" s="575">
        <f>+(C53*G54)+(E53*I54)</f>
        <v>93215.9</v>
      </c>
      <c r="L54" s="575">
        <f>+K54*0.3048</f>
        <v>28412.206320000001</v>
      </c>
      <c r="M54" s="295"/>
      <c r="N54" s="295"/>
      <c r="O54" s="295"/>
      <c r="P54" s="295"/>
      <c r="Q54" s="295"/>
      <c r="R54" s="295"/>
      <c r="S54" s="295"/>
      <c r="T54" s="295"/>
      <c r="U54" s="575">
        <f>+BI54*S53</f>
        <v>470170.8</v>
      </c>
      <c r="V54" s="575">
        <f>+U54*0.3048</f>
        <v>143308.05984</v>
      </c>
      <c r="W54" s="575">
        <f>+BI54*Q53</f>
        <v>366578.875</v>
      </c>
      <c r="X54" s="575">
        <f>+W54*0.3048</f>
        <v>111733.2411</v>
      </c>
      <c r="Y54" s="97" t="s">
        <v>18</v>
      </c>
      <c r="Z54" s="97" t="s">
        <v>18</v>
      </c>
      <c r="AA54" s="97"/>
      <c r="AB54" s="97"/>
      <c r="AC54" s="575">
        <v>2282</v>
      </c>
      <c r="AD54" s="575">
        <f>+AC54*0.3048</f>
        <v>695.55360000000007</v>
      </c>
      <c r="AE54" s="575">
        <v>913</v>
      </c>
      <c r="AF54" s="575">
        <v>278.2824</v>
      </c>
      <c r="AG54" s="575">
        <v>239.5</v>
      </c>
      <c r="AH54" s="575">
        <f>+AG54*0.3048</f>
        <v>72.999600000000001</v>
      </c>
      <c r="AI54" s="575">
        <v>2529.5</v>
      </c>
      <c r="AJ54" s="575">
        <f>+AI54*0.3048</f>
        <v>770.99160000000006</v>
      </c>
      <c r="AK54" s="575">
        <f>+M53*AI54</f>
        <v>90303.150000000009</v>
      </c>
      <c r="AL54" s="575">
        <f>+AK54*0.3048</f>
        <v>27524.400120000006</v>
      </c>
      <c r="AM54" s="295"/>
      <c r="AN54" s="295"/>
      <c r="AO54" s="588">
        <v>860</v>
      </c>
      <c r="AP54" s="575">
        <f>+AO54*0.3048</f>
        <v>262.12799999999999</v>
      </c>
      <c r="AQ54" s="575">
        <f>+AM53*AO54</f>
        <v>8600</v>
      </c>
      <c r="AR54" s="575">
        <f>+AQ54*0.3048</f>
        <v>2621.2800000000002</v>
      </c>
      <c r="AS54" s="295"/>
      <c r="AT54" s="295"/>
      <c r="AU54" s="575">
        <f>+BI54-AG54</f>
        <v>2728.75</v>
      </c>
      <c r="AV54" s="575">
        <f>+AU54*0.3048</f>
        <v>831.72300000000007</v>
      </c>
      <c r="AW54" s="575">
        <f>+(2*AS53)*(2*AU54)</f>
        <v>54575</v>
      </c>
      <c r="AX54" s="575">
        <f>+AW54*0.3048</f>
        <v>16634.46</v>
      </c>
      <c r="AY54" s="575">
        <v>25</v>
      </c>
      <c r="AZ54" s="575">
        <f>+AY54*0.3048</f>
        <v>7.62</v>
      </c>
      <c r="BA54" s="575">
        <f>+BI54</f>
        <v>2968.25</v>
      </c>
      <c r="BB54" s="575">
        <f>+BA54*0.3048</f>
        <v>904.72260000000006</v>
      </c>
      <c r="BC54" s="575">
        <f>+AY54*BA54</f>
        <v>74206.25</v>
      </c>
      <c r="BD54" s="575">
        <f>+BC54*0.3048</f>
        <v>22618.065000000002</v>
      </c>
      <c r="BE54" s="295"/>
      <c r="BF54" s="295"/>
      <c r="BG54" s="589">
        <v>0.56212121212121213</v>
      </c>
      <c r="BH54" s="589">
        <f>+BG54*1.609344</f>
        <v>0.90464640000000007</v>
      </c>
      <c r="BI54" s="575">
        <v>2968.25</v>
      </c>
      <c r="BJ54" s="575">
        <f>+BI54*0.3048</f>
        <v>904.72260000000006</v>
      </c>
      <c r="BK54" s="575">
        <f>+BI54*2</f>
        <v>5936.5</v>
      </c>
      <c r="BL54" s="575">
        <f>+BK54*0.3048</f>
        <v>1809.4452000000001</v>
      </c>
      <c r="BM54" s="575">
        <v>4693.0822357630004</v>
      </c>
      <c r="BN54" s="575">
        <v>1430.4514654605623</v>
      </c>
      <c r="BO54" s="700">
        <f>+AC54/BK54</f>
        <v>0.38440158342457675</v>
      </c>
      <c r="BP54" s="700">
        <f>+AE54/BK54</f>
        <v>0.15379432325444287</v>
      </c>
      <c r="BQ54" s="700">
        <f>+AG54/BI54</f>
        <v>8.0687273646087757E-2</v>
      </c>
      <c r="BR54" s="700">
        <f>+AI54/BI54</f>
        <v>0.85218563126421287</v>
      </c>
      <c r="BS54" s="700">
        <f>+AO54/BK54</f>
        <v>0.14486650383222438</v>
      </c>
      <c r="BT54" s="700">
        <v>2.2700000000000001E-2</v>
      </c>
      <c r="BU54" s="700">
        <v>2.3599999999999999E-2</v>
      </c>
      <c r="BV54" s="575">
        <v>20392.902296828281</v>
      </c>
      <c r="BW54" s="575">
        <v>6215.7566200732599</v>
      </c>
      <c r="BX54" s="97"/>
      <c r="BY54" s="575">
        <v>155</v>
      </c>
      <c r="BZ54" s="575">
        <f>+BY54*0.3048</f>
        <v>47.244</v>
      </c>
      <c r="CA54" s="575">
        <v>109.75</v>
      </c>
      <c r="CB54" s="575">
        <f>+(CA54*0.3048)</f>
        <v>33.451799999999999</v>
      </c>
      <c r="CC54" s="575">
        <f>+(BY54*O53)+(92*58)</f>
        <v>14171</v>
      </c>
      <c r="CD54" s="575">
        <f>+(CC54*0.3048)</f>
        <v>4319.3208000000004</v>
      </c>
      <c r="CE54" s="575">
        <f>+CA53*316</f>
        <v>5780.166666666667</v>
      </c>
      <c r="CF54" s="575">
        <f>+CE54*0.3048</f>
        <v>1761.7948000000001</v>
      </c>
      <c r="CG54" s="575">
        <f>+CC54+CE54</f>
        <v>19951.166666666668</v>
      </c>
      <c r="CH54" s="575">
        <f>+CG54*0.3048</f>
        <v>6081.115600000001</v>
      </c>
      <c r="CI54" s="295"/>
      <c r="CJ54" s="295"/>
      <c r="CK54" s="575">
        <v>10</v>
      </c>
      <c r="CL54" s="575">
        <f>+CK54*0.3048</f>
        <v>3.048</v>
      </c>
      <c r="CM54" s="575">
        <f>+(CI53*CK54)*4</f>
        <v>920</v>
      </c>
      <c r="CN54" s="575">
        <f>+CM54*0.3048</f>
        <v>280.416</v>
      </c>
      <c r="CO54" s="295"/>
      <c r="CP54" s="295"/>
      <c r="CQ54" s="575">
        <v>10</v>
      </c>
      <c r="CR54" s="575">
        <f>+CQ54*0.3048</f>
        <v>3.048</v>
      </c>
      <c r="CS54" s="575">
        <f>+(CO53*CQ54*16)</f>
        <v>3100</v>
      </c>
      <c r="CT54" s="575">
        <f>+CS54*0.3048</f>
        <v>944.88</v>
      </c>
      <c r="CU54" s="575">
        <f>+(CO53*M53*12)</f>
        <v>8300.25</v>
      </c>
      <c r="CV54" s="575">
        <f>+CU54*0.3048</f>
        <v>2529.9162000000001</v>
      </c>
      <c r="CW54" s="97"/>
      <c r="CX54" s="97"/>
      <c r="CY54" s="575">
        <v>1742.9</v>
      </c>
      <c r="CZ54" s="575">
        <v>531.23592000000008</v>
      </c>
      <c r="DA54" s="587"/>
      <c r="DB54" s="587"/>
      <c r="DC54" s="575">
        <f>+CY54+DA54</f>
        <v>1742.9</v>
      </c>
      <c r="DD54" s="576">
        <f>+CZ54+DB54</f>
        <v>531.23592000000008</v>
      </c>
      <c r="DE54" s="821">
        <v>20</v>
      </c>
      <c r="DF54" s="851">
        <f>+DE54/BG54</f>
        <v>35.57951482479784</v>
      </c>
      <c r="DG54" s="852">
        <f>+DE54/BH54</f>
        <v>22.108085545910534</v>
      </c>
      <c r="DH54" s="947">
        <v>350.8</v>
      </c>
      <c r="DI54" s="949">
        <f>+DH54/BG54</f>
        <v>624.06469002695417</v>
      </c>
      <c r="DJ54" s="949">
        <f>+DH54/BH54</f>
        <v>387.77582047527073</v>
      </c>
      <c r="DK54" s="948">
        <v>636.29999999999995</v>
      </c>
      <c r="DL54" s="950">
        <f>+DK54/BG54</f>
        <v>1131.9622641509434</v>
      </c>
      <c r="DM54" s="950">
        <f>+DK54/BH54</f>
        <v>703.36874164314361</v>
      </c>
      <c r="DN54" s="946">
        <v>220.4</v>
      </c>
      <c r="DO54" s="950">
        <f>+DN54/BG54</f>
        <v>392.08625336927224</v>
      </c>
      <c r="DP54" s="950">
        <f>+DN54/BH54</f>
        <v>243.63110271593408</v>
      </c>
      <c r="DQ54" s="948">
        <v>14</v>
      </c>
      <c r="DR54" s="960">
        <f>+DQ54/BG54</f>
        <v>24.90566037735849</v>
      </c>
      <c r="DS54" s="960">
        <f>+DQ54/BH54</f>
        <v>15.475659882137373</v>
      </c>
    </row>
    <row r="55" spans="1:123" ht="14" thickBot="1" x14ac:dyDescent="0.2">
      <c r="A55" s="568"/>
      <c r="B55" s="632" t="s">
        <v>126</v>
      </c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128"/>
      <c r="Q55" s="97"/>
      <c r="R55" s="97"/>
      <c r="S55" s="97"/>
      <c r="T55" s="97"/>
      <c r="U55" s="97"/>
      <c r="V55" s="97"/>
      <c r="W55" s="575">
        <f>+BI54*O53</f>
        <v>169190.25</v>
      </c>
      <c r="X55" s="575">
        <f>+W55*0.3048</f>
        <v>51569.188200000004</v>
      </c>
      <c r="Y55" s="575" t="s">
        <v>18</v>
      </c>
      <c r="Z55" s="575" t="s">
        <v>18</v>
      </c>
      <c r="AA55" s="575">
        <f>+W55</f>
        <v>169190.25</v>
      </c>
      <c r="AB55" s="575">
        <f>+X55</f>
        <v>51569.188200000004</v>
      </c>
      <c r="AC55" s="128"/>
      <c r="AD55" s="128"/>
      <c r="AE55" s="128"/>
      <c r="AF55" s="128"/>
      <c r="AG55" s="295"/>
      <c r="AH55" s="128"/>
      <c r="AI55" s="128"/>
      <c r="AJ55" s="128"/>
      <c r="AK55" s="128"/>
      <c r="AL55" s="128"/>
      <c r="AM55" s="128"/>
      <c r="AN55" s="128"/>
      <c r="AO55" s="128"/>
      <c r="AP55" s="128"/>
      <c r="AQ55" s="128"/>
      <c r="AR55" s="128"/>
      <c r="AS55" s="128"/>
      <c r="AT55" s="128"/>
      <c r="AU55" s="128"/>
      <c r="AV55" s="128"/>
      <c r="AW55" s="128"/>
      <c r="AX55" s="128"/>
      <c r="AY55" s="128"/>
      <c r="AZ55" s="128"/>
      <c r="BA55" s="128"/>
      <c r="BB55" s="128"/>
      <c r="BC55" s="128"/>
      <c r="BD55" s="128"/>
      <c r="BE55" s="128"/>
      <c r="BF55" s="128"/>
      <c r="BG55" s="128"/>
      <c r="BH55" s="128"/>
      <c r="BI55" s="128"/>
      <c r="BJ55" s="128"/>
      <c r="BK55" s="128"/>
      <c r="BL55" s="128"/>
      <c r="BM55" s="128"/>
      <c r="BN55" s="128"/>
      <c r="BO55" s="128"/>
      <c r="BP55" s="128"/>
      <c r="BQ55" s="128"/>
      <c r="BR55" s="128"/>
      <c r="BS55" s="128"/>
      <c r="BT55" s="128"/>
      <c r="BU55" s="128"/>
      <c r="BV55" s="128"/>
      <c r="BW55" s="128"/>
      <c r="BX55" s="128"/>
      <c r="BY55" s="128"/>
      <c r="BZ55" s="128" t="s">
        <v>18</v>
      </c>
      <c r="CA55" s="128"/>
      <c r="CB55" s="128"/>
      <c r="CC55" s="128"/>
      <c r="CD55" s="128"/>
      <c r="CE55" s="128"/>
      <c r="CF55" s="128"/>
      <c r="CG55" s="128"/>
      <c r="CH55" s="128"/>
      <c r="CI55" s="128"/>
      <c r="CJ55" s="128" t="s">
        <v>18</v>
      </c>
      <c r="CK55" s="128"/>
      <c r="CL55" s="128"/>
      <c r="CM55" s="128"/>
      <c r="CN55" s="128"/>
      <c r="CO55" s="128"/>
      <c r="CP55" s="128"/>
      <c r="CQ55" s="128"/>
      <c r="CR55" s="128"/>
      <c r="CS55" s="128"/>
      <c r="CT55" s="128"/>
      <c r="CU55" s="128"/>
      <c r="CV55" s="128"/>
      <c r="CW55" s="128"/>
      <c r="CX55" s="128"/>
      <c r="CY55" s="295"/>
      <c r="CZ55" s="295"/>
      <c r="DA55" s="295"/>
      <c r="DB55" s="295"/>
      <c r="DC55" s="295"/>
      <c r="DD55" s="613"/>
      <c r="DE55" s="86"/>
      <c r="DF55" s="44"/>
      <c r="DG55" s="45"/>
      <c r="DH55" s="86"/>
      <c r="DI55" s="86"/>
      <c r="DJ55" s="86"/>
      <c r="DK55" s="934"/>
      <c r="DL55" s="934"/>
      <c r="DM55" s="934"/>
      <c r="DN55" s="934"/>
      <c r="DO55" s="934"/>
      <c r="DP55" s="934"/>
      <c r="DQ55" s="934"/>
      <c r="DR55" s="934"/>
      <c r="DS55" s="934"/>
    </row>
    <row r="56" spans="1:123" ht="14" thickBot="1" x14ac:dyDescent="0.2">
      <c r="A56" s="3"/>
      <c r="B56" s="614" t="s">
        <v>705</v>
      </c>
      <c r="C56" s="270"/>
      <c r="D56" s="270"/>
      <c r="E56" s="270"/>
      <c r="F56" s="270"/>
      <c r="G56" s="270"/>
      <c r="H56" s="270"/>
      <c r="I56" s="270" t="s">
        <v>18</v>
      </c>
      <c r="J56" s="270"/>
      <c r="K56" s="270"/>
      <c r="L56" s="270"/>
      <c r="M56" s="270"/>
      <c r="N56" s="270"/>
      <c r="O56" s="270" t="s">
        <v>18</v>
      </c>
      <c r="P56" s="217" t="s">
        <v>18</v>
      </c>
      <c r="Q56" s="270" t="s">
        <v>18</v>
      </c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174"/>
      <c r="AD56" s="174"/>
      <c r="AE56" s="174"/>
      <c r="AF56" s="174"/>
      <c r="AG56" s="175" t="s">
        <v>720</v>
      </c>
      <c r="AH56" s="175"/>
      <c r="AI56" s="175" t="s">
        <v>721</v>
      </c>
      <c r="AJ56" s="174"/>
      <c r="AK56" s="174"/>
      <c r="AL56" s="174"/>
      <c r="AM56" s="174"/>
      <c r="AN56" s="174"/>
      <c r="AO56" s="174"/>
      <c r="AP56" s="174"/>
      <c r="AQ56" s="174"/>
      <c r="AR56" s="174"/>
      <c r="AS56" s="174"/>
      <c r="AT56" s="174"/>
      <c r="AU56" s="174"/>
      <c r="AV56" s="174"/>
      <c r="AW56" s="174"/>
      <c r="AX56" s="174"/>
      <c r="AY56" s="174"/>
      <c r="AZ56" s="174"/>
      <c r="BA56" s="174"/>
      <c r="BB56" s="174"/>
      <c r="BC56" s="174"/>
      <c r="BD56" s="174"/>
      <c r="BE56" s="174"/>
      <c r="BF56" s="174"/>
      <c r="BG56" s="174"/>
      <c r="BH56" s="174"/>
      <c r="BI56" s="174"/>
      <c r="BJ56" s="174"/>
      <c r="BK56" s="174"/>
      <c r="BL56" s="174"/>
      <c r="BM56" s="174"/>
      <c r="BN56" s="174"/>
      <c r="BO56" s="174"/>
      <c r="BP56" s="174"/>
      <c r="BQ56" s="174"/>
      <c r="BR56" s="174"/>
      <c r="BS56" s="174"/>
      <c r="BT56" s="174"/>
      <c r="BU56" s="174"/>
      <c r="BV56" s="174"/>
      <c r="BW56" s="174"/>
      <c r="BX56" s="174"/>
      <c r="BY56" s="174"/>
      <c r="BZ56" s="174"/>
      <c r="CA56" s="174"/>
      <c r="CB56" s="174"/>
      <c r="CC56" s="174"/>
      <c r="CD56" s="174"/>
      <c r="CE56" s="174"/>
      <c r="CF56" s="174"/>
      <c r="CG56" s="174"/>
      <c r="CH56" s="174"/>
      <c r="CI56" s="174"/>
      <c r="CJ56" s="174"/>
      <c r="CK56" s="174"/>
      <c r="CL56" s="174"/>
      <c r="CM56" s="174"/>
      <c r="CN56" s="174"/>
      <c r="CO56" s="174"/>
      <c r="CP56" s="174"/>
      <c r="CQ56" s="174"/>
      <c r="CR56" s="174"/>
      <c r="CS56" s="174"/>
      <c r="CT56" s="174"/>
      <c r="CU56" s="174"/>
      <c r="CV56" s="174"/>
      <c r="CW56" s="174"/>
      <c r="CX56" s="174"/>
      <c r="CY56" s="174"/>
      <c r="CZ56" s="174"/>
      <c r="DA56" s="174"/>
      <c r="DB56" s="174"/>
      <c r="DC56" s="174"/>
      <c r="DD56" s="198"/>
      <c r="DE56" s="417" t="s">
        <v>762</v>
      </c>
      <c r="DF56" s="313" t="s">
        <v>763</v>
      </c>
      <c r="DG56" s="820" t="s">
        <v>798</v>
      </c>
      <c r="DH56" s="86"/>
      <c r="DI56" s="86"/>
      <c r="DJ56" s="86"/>
      <c r="DK56" s="934"/>
      <c r="DL56" s="934"/>
      <c r="DM56" s="934"/>
      <c r="DN56" s="934"/>
      <c r="DO56" s="950" t="s">
        <v>18</v>
      </c>
      <c r="DP56" s="950" t="s">
        <v>18</v>
      </c>
      <c r="DQ56" s="959" t="s">
        <v>18</v>
      </c>
      <c r="DR56" s="950" t="s">
        <v>18</v>
      </c>
      <c r="DS56" s="950" t="s">
        <v>18</v>
      </c>
    </row>
    <row r="57" spans="1:123" x14ac:dyDescent="0.15">
      <c r="A57" s="3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71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38"/>
      <c r="AD57" s="38"/>
      <c r="AE57" s="38"/>
      <c r="AF57" s="38"/>
      <c r="AG57" s="113"/>
      <c r="AH57" s="113"/>
      <c r="AI57" s="113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38"/>
      <c r="BO57" s="38"/>
      <c r="BP57" s="38"/>
      <c r="BQ57" s="38"/>
      <c r="BR57" s="38"/>
      <c r="BS57" s="38"/>
      <c r="BT57" s="38"/>
      <c r="BU57" s="38"/>
      <c r="BV57" s="38"/>
      <c r="BW57" s="38"/>
      <c r="BX57" s="38"/>
      <c r="BY57" s="38"/>
      <c r="BZ57" s="38"/>
      <c r="CA57" s="38"/>
      <c r="CB57" s="38"/>
      <c r="CC57" s="38"/>
      <c r="CD57" s="38"/>
      <c r="CE57" s="38"/>
      <c r="CF57" s="38"/>
      <c r="CG57" s="38"/>
      <c r="CH57" s="38"/>
      <c r="CI57" s="38"/>
      <c r="CJ57" s="38"/>
      <c r="CK57" s="38"/>
      <c r="CL57" s="38"/>
      <c r="CM57" s="38"/>
      <c r="CN57" s="38"/>
      <c r="CO57" s="38"/>
      <c r="CP57" s="38"/>
      <c r="CQ57" s="38"/>
      <c r="CR57" s="38"/>
      <c r="CS57" s="38"/>
      <c r="CT57" s="38"/>
      <c r="CU57" s="38"/>
      <c r="CV57" s="38"/>
      <c r="CW57" s="38"/>
      <c r="CX57" s="38"/>
      <c r="CY57" s="38"/>
      <c r="CZ57" s="38"/>
      <c r="DA57" s="38"/>
      <c r="DB57" s="38"/>
      <c r="DC57" s="38"/>
      <c r="DD57" s="38"/>
      <c r="DE57" s="263"/>
      <c r="DF57" s="50"/>
      <c r="DG57" s="859"/>
      <c r="DH57" s="114"/>
      <c r="DI57" s="114"/>
      <c r="DJ57" s="114"/>
      <c r="DK57" s="9"/>
      <c r="DL57" s="9"/>
      <c r="DM57" s="9"/>
      <c r="DN57" s="9"/>
      <c r="DO57" s="14"/>
      <c r="DP57" s="14"/>
      <c r="DQ57" s="14"/>
      <c r="DR57" s="14"/>
      <c r="DS57" s="14"/>
    </row>
    <row r="58" spans="1:123" ht="14" thickBot="1" x14ac:dyDescent="0.2">
      <c r="B58" s="1" t="s">
        <v>352</v>
      </c>
      <c r="C58" s="13" t="s">
        <v>95</v>
      </c>
      <c r="D58" s="13" t="s">
        <v>96</v>
      </c>
      <c r="E58" s="84" t="s">
        <v>297</v>
      </c>
      <c r="F58" s="84" t="s">
        <v>714</v>
      </c>
      <c r="G58" s="84"/>
      <c r="H58" s="7" t="s">
        <v>18</v>
      </c>
      <c r="I58" s="7" t="s">
        <v>18</v>
      </c>
      <c r="J58" s="7"/>
      <c r="K58" s="7"/>
      <c r="L58" s="7"/>
      <c r="M58" s="7"/>
      <c r="N58" s="7"/>
      <c r="O58" s="7"/>
      <c r="P58" s="7"/>
      <c r="Q58" s="7" t="s">
        <v>18</v>
      </c>
      <c r="R58" s="7"/>
      <c r="S58" s="7"/>
      <c r="T58" s="7"/>
      <c r="U58" s="7"/>
      <c r="V58" s="7"/>
      <c r="W58" s="7"/>
      <c r="X58" s="7"/>
      <c r="Y58" s="40" t="s">
        <v>18</v>
      </c>
      <c r="Z58" s="7"/>
      <c r="AA58" s="7"/>
      <c r="AB58" s="7"/>
      <c r="AC58" s="3"/>
      <c r="AI58" s="2" t="s">
        <v>18</v>
      </c>
      <c r="AZ58" s="2" t="s">
        <v>18</v>
      </c>
      <c r="BH58" s="2" t="s">
        <v>18</v>
      </c>
      <c r="BV58" s="84"/>
      <c r="BW58" s="84"/>
      <c r="BX58" s="14"/>
      <c r="BY58" s="2"/>
      <c r="BZ58" s="2" t="s">
        <v>18</v>
      </c>
      <c r="CB58" s="2" t="s">
        <v>18</v>
      </c>
      <c r="CC58" s="2" t="s">
        <v>18</v>
      </c>
      <c r="CM58" s="2" t="s">
        <v>18</v>
      </c>
      <c r="CQ58" s="2" t="s">
        <v>18</v>
      </c>
      <c r="DE58" s="64"/>
      <c r="DF58" s="64"/>
      <c r="DG58" s="14"/>
      <c r="DH58" s="14"/>
      <c r="DI58" s="14"/>
      <c r="DJ58" s="14"/>
      <c r="DK58" s="14"/>
      <c r="DL58" s="14"/>
      <c r="DM58" s="14"/>
    </row>
    <row r="59" spans="1:123" x14ac:dyDescent="0.15">
      <c r="B59" s="48" t="s">
        <v>126</v>
      </c>
      <c r="C59" s="479">
        <f>+AA55</f>
        <v>169190.25</v>
      </c>
      <c r="D59" s="813">
        <f>+(C59*0.3048)</f>
        <v>51569.188200000004</v>
      </c>
      <c r="E59" s="106">
        <f>+D59/D79</f>
        <v>0.35984848484848486</v>
      </c>
      <c r="F59" s="709" t="s">
        <v>18</v>
      </c>
      <c r="G59" s="595"/>
      <c r="H59" s="7"/>
      <c r="I59" s="7" t="s">
        <v>18</v>
      </c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Z59" s="7"/>
      <c r="AA59" s="7"/>
      <c r="AB59" s="7"/>
      <c r="AC59" s="3"/>
      <c r="AI59" s="2" t="s">
        <v>18</v>
      </c>
      <c r="AS59" t="s">
        <v>18</v>
      </c>
      <c r="BV59" s="14"/>
      <c r="BW59" s="14"/>
      <c r="BX59" s="14"/>
      <c r="BY59" s="2"/>
      <c r="BZ59" s="2" t="s">
        <v>18</v>
      </c>
      <c r="CA59" s="2" t="s">
        <v>18</v>
      </c>
      <c r="CB59" s="2" t="s">
        <v>18</v>
      </c>
      <c r="CC59" s="2" t="s">
        <v>18</v>
      </c>
      <c r="CD59" s="2" t="s">
        <v>18</v>
      </c>
      <c r="CE59" s="2" t="s">
        <v>18</v>
      </c>
      <c r="CF59" s="2" t="s">
        <v>18</v>
      </c>
      <c r="CG59" s="2" t="s">
        <v>18</v>
      </c>
      <c r="CK59" t="s">
        <v>18</v>
      </c>
      <c r="CL59" t="s">
        <v>18</v>
      </c>
      <c r="CR59" s="2" t="s">
        <v>18</v>
      </c>
      <c r="DK59" s="2" t="s">
        <v>18</v>
      </c>
      <c r="DL59" s="2"/>
      <c r="DM59" s="2"/>
      <c r="DO59" s="859" t="s">
        <v>18</v>
      </c>
    </row>
    <row r="60" spans="1:123" x14ac:dyDescent="0.15">
      <c r="B60" s="107" t="s">
        <v>800</v>
      </c>
      <c r="C60" s="783">
        <f>+AQ54</f>
        <v>8600</v>
      </c>
      <c r="D60" s="117">
        <f>+(C60*0.3048)</f>
        <v>2621.2800000000002</v>
      </c>
      <c r="E60" s="737">
        <f>+D60/D79</f>
        <v>1.8291225231341461E-2</v>
      </c>
      <c r="F60" s="788">
        <v>1.8291225231341461E-2</v>
      </c>
      <c r="G60" s="112"/>
      <c r="H60" s="7" t="s">
        <v>18</v>
      </c>
      <c r="I60" s="7"/>
      <c r="J60" s="7"/>
      <c r="K60" s="7"/>
      <c r="L60" s="7"/>
      <c r="M60" s="7"/>
      <c r="N60" s="7"/>
      <c r="O60" s="7"/>
      <c r="P60" s="7"/>
      <c r="Q60" s="7" t="s">
        <v>18</v>
      </c>
      <c r="R60" s="7"/>
      <c r="S60" s="7"/>
      <c r="T60" s="7"/>
      <c r="U60" s="7"/>
      <c r="V60" s="7"/>
      <c r="W60" s="7"/>
      <c r="X60" s="7"/>
      <c r="Y60" s="40"/>
      <c r="Z60" s="7"/>
      <c r="AA60" s="7"/>
      <c r="AB60" s="7"/>
      <c r="AC60" s="3"/>
      <c r="AI60" s="2" t="s">
        <v>18</v>
      </c>
      <c r="AS60" t="s">
        <v>18</v>
      </c>
      <c r="AT60" t="s">
        <v>18</v>
      </c>
      <c r="AY60" s="2" t="s">
        <v>18</v>
      </c>
      <c r="BH60" s="2" t="s">
        <v>18</v>
      </c>
      <c r="BZ60" s="2" t="s">
        <v>18</v>
      </c>
      <c r="CH60" s="2" t="s">
        <v>18</v>
      </c>
      <c r="CJ60" s="2" t="s">
        <v>18</v>
      </c>
      <c r="CO60" s="2" t="s">
        <v>18</v>
      </c>
      <c r="CU60" s="2" t="s">
        <v>18</v>
      </c>
      <c r="DH60" s="2" t="s">
        <v>18</v>
      </c>
      <c r="DI60" s="2"/>
      <c r="DJ60" s="2"/>
    </row>
    <row r="61" spans="1:123" x14ac:dyDescent="0.15">
      <c r="B61" s="107" t="s">
        <v>270</v>
      </c>
      <c r="C61" s="783">
        <f>+C59</f>
        <v>169190.25</v>
      </c>
      <c r="D61" s="117">
        <f>+(C61*0.3048)</f>
        <v>51569.188200000004</v>
      </c>
      <c r="E61" s="737">
        <f>+D61/D79</f>
        <v>0.35984848484848486</v>
      </c>
      <c r="F61" s="788">
        <v>0.35984848484848486</v>
      </c>
      <c r="G61" s="112"/>
      <c r="H61" s="7" t="s">
        <v>18</v>
      </c>
      <c r="I61" s="7" t="s">
        <v>18</v>
      </c>
      <c r="J61" s="7"/>
      <c r="K61" s="7" t="s">
        <v>18</v>
      </c>
      <c r="L61" s="7"/>
      <c r="M61" s="7"/>
      <c r="N61" s="7"/>
      <c r="O61" s="7" t="s">
        <v>18</v>
      </c>
      <c r="P61" s="7"/>
      <c r="Q61" s="7"/>
      <c r="R61" s="7"/>
      <c r="S61" s="7" t="s">
        <v>18</v>
      </c>
      <c r="T61" s="7"/>
      <c r="U61" s="7"/>
      <c r="V61" s="7"/>
      <c r="W61" s="7"/>
      <c r="X61" s="7"/>
      <c r="Y61" s="40"/>
      <c r="Z61" s="7"/>
      <c r="AA61" s="7"/>
      <c r="AB61" s="7"/>
      <c r="AC61" s="3"/>
      <c r="AO61" s="2" t="s">
        <v>18</v>
      </c>
      <c r="AS61" t="s">
        <v>18</v>
      </c>
      <c r="AT61" s="2" t="s">
        <v>18</v>
      </c>
      <c r="BC61" s="2" t="s">
        <v>18</v>
      </c>
      <c r="BZ61" s="2" t="s">
        <v>18</v>
      </c>
      <c r="CJ61" s="2" t="s">
        <v>18</v>
      </c>
      <c r="CM61" t="s">
        <v>18</v>
      </c>
    </row>
    <row r="62" spans="1:123" x14ac:dyDescent="0.15">
      <c r="B62" s="107" t="s">
        <v>281</v>
      </c>
      <c r="C62" s="111">
        <f>+BT54</f>
        <v>2.2700000000000001E-2</v>
      </c>
      <c r="D62" s="111">
        <f>+BT54</f>
        <v>2.2700000000000001E-2</v>
      </c>
      <c r="E62" s="112"/>
      <c r="F62" s="788"/>
      <c r="G62" s="112"/>
      <c r="H62" s="7"/>
      <c r="I62" s="7" t="s">
        <v>18</v>
      </c>
      <c r="J62" s="7"/>
      <c r="K62" s="7"/>
      <c r="L62" s="7"/>
      <c r="M62" s="7"/>
      <c r="N62" s="7"/>
      <c r="O62" s="7"/>
      <c r="P62" s="7"/>
      <c r="Q62" s="7" t="s">
        <v>18</v>
      </c>
      <c r="R62" s="7"/>
      <c r="S62" s="7"/>
      <c r="T62" s="7"/>
      <c r="U62" s="7"/>
      <c r="V62" s="7"/>
      <c r="W62" s="7"/>
      <c r="X62" s="7"/>
      <c r="Y62" s="40"/>
      <c r="Z62" s="7"/>
      <c r="AA62" s="7"/>
      <c r="AB62" s="7"/>
      <c r="AC62" s="3" t="s">
        <v>18</v>
      </c>
      <c r="AS62" t="s">
        <v>18</v>
      </c>
      <c r="BA62" s="2" t="s">
        <v>18</v>
      </c>
      <c r="CC62" s="2" t="s">
        <v>18</v>
      </c>
      <c r="CI62" s="2" t="s">
        <v>18</v>
      </c>
      <c r="DE62" s="3"/>
      <c r="DK62" s="859" t="s">
        <v>18</v>
      </c>
    </row>
    <row r="63" spans="1:123" x14ac:dyDescent="0.15">
      <c r="B63" s="107" t="s">
        <v>278</v>
      </c>
      <c r="C63" s="783">
        <f>+C62*C61</f>
        <v>3840.6186750000002</v>
      </c>
      <c r="D63" s="117">
        <f>+(C63*0.3048)</f>
        <v>1170.6205721400001</v>
      </c>
      <c r="E63" s="110">
        <f>+D63/D79</f>
        <v>8.1685606060606063E-3</v>
      </c>
      <c r="F63" s="788"/>
      <c r="G63" s="112"/>
      <c r="H63" s="7"/>
      <c r="I63" s="824" t="s">
        <v>18</v>
      </c>
      <c r="J63" s="7"/>
      <c r="K63" s="7"/>
      <c r="L63" s="7"/>
      <c r="M63" s="7"/>
      <c r="N63" s="7"/>
      <c r="O63" s="7"/>
      <c r="P63" s="7"/>
      <c r="Q63" s="7"/>
      <c r="R63" s="7" t="s">
        <v>18</v>
      </c>
      <c r="S63" s="7"/>
      <c r="T63" s="7"/>
      <c r="U63" s="7"/>
      <c r="V63" s="7"/>
      <c r="W63" s="7"/>
      <c r="X63" s="7"/>
      <c r="Y63" s="40"/>
      <c r="Z63" s="7"/>
      <c r="AA63" s="7"/>
      <c r="AB63" s="7"/>
      <c r="AC63" s="3"/>
      <c r="AQ63" s="2" t="s">
        <v>18</v>
      </c>
      <c r="AU63" t="s">
        <v>18</v>
      </c>
      <c r="CD63" s="2" t="s">
        <v>18</v>
      </c>
      <c r="CE63" s="2" t="s">
        <v>18</v>
      </c>
      <c r="DE63" s="40"/>
    </row>
    <row r="64" spans="1:123" x14ac:dyDescent="0.15">
      <c r="B64" s="107" t="s">
        <v>351</v>
      </c>
      <c r="C64" s="822">
        <f>+BC54</f>
        <v>74206.25</v>
      </c>
      <c r="D64" s="212">
        <f>+BD54</f>
        <v>22618.065000000002</v>
      </c>
      <c r="E64" s="737">
        <f>+D64/D79</f>
        <v>0.15782828282828285</v>
      </c>
      <c r="F64" s="788">
        <v>0.15782828282828285</v>
      </c>
      <c r="G64" s="112"/>
      <c r="H64" s="7"/>
      <c r="I64" s="7" t="s">
        <v>18</v>
      </c>
      <c r="J64" s="7"/>
      <c r="K64" s="7" t="s">
        <v>18</v>
      </c>
      <c r="L64" s="7" t="s">
        <v>18</v>
      </c>
      <c r="M64" s="7"/>
      <c r="N64" s="7"/>
      <c r="O64" s="4" t="s">
        <v>18</v>
      </c>
      <c r="P64" s="4"/>
      <c r="Q64" s="7"/>
      <c r="R64" s="7" t="s">
        <v>18</v>
      </c>
      <c r="S64" s="7"/>
      <c r="T64" s="7"/>
      <c r="U64" s="7" t="s">
        <v>18</v>
      </c>
      <c r="V64" s="7"/>
      <c r="W64" s="7"/>
      <c r="X64" s="7"/>
      <c r="Y64" s="40"/>
      <c r="Z64" s="7"/>
      <c r="AA64" s="7"/>
      <c r="AB64" s="7"/>
      <c r="AC64" s="3"/>
      <c r="AH64" s="137" t="s">
        <v>18</v>
      </c>
      <c r="BH64" s="2" t="s">
        <v>18</v>
      </c>
      <c r="BZ64" s="2" t="s">
        <v>18</v>
      </c>
      <c r="CD64" s="2" t="s">
        <v>18</v>
      </c>
      <c r="DE64" s="40"/>
    </row>
    <row r="65" spans="1:102" x14ac:dyDescent="0.15">
      <c r="B65" s="107" t="s">
        <v>273</v>
      </c>
      <c r="C65" s="822">
        <f>+CS54</f>
        <v>3100</v>
      </c>
      <c r="D65" s="113">
        <f>+CT54</f>
        <v>944.88</v>
      </c>
      <c r="E65" s="110">
        <f>+C65/D79</f>
        <v>2.1631721226713106E-2</v>
      </c>
      <c r="F65" s="788"/>
      <c r="G65" s="112"/>
      <c r="H65" s="7" t="s">
        <v>18</v>
      </c>
      <c r="I65" s="7"/>
      <c r="J65" s="7"/>
      <c r="K65" s="7"/>
      <c r="L65" s="7"/>
      <c r="M65" s="7"/>
      <c r="N65" s="7"/>
      <c r="O65" s="4"/>
      <c r="P65" s="4"/>
      <c r="Q65" s="7"/>
      <c r="R65" s="7"/>
      <c r="S65" s="7"/>
      <c r="T65" s="7"/>
      <c r="U65" s="7"/>
      <c r="V65" s="7"/>
      <c r="W65" s="7"/>
      <c r="X65" s="7"/>
      <c r="Y65" s="40"/>
      <c r="Z65" s="7"/>
      <c r="AA65" s="7"/>
      <c r="AB65" s="7"/>
      <c r="AC65" s="3"/>
      <c r="AH65" s="5"/>
      <c r="BH65" s="2"/>
      <c r="BZ65" s="2"/>
      <c r="CD65" s="2" t="s">
        <v>18</v>
      </c>
    </row>
    <row r="66" spans="1:102" x14ac:dyDescent="0.15">
      <c r="B66" s="107" t="s">
        <v>272</v>
      </c>
      <c r="C66" s="114">
        <f>1-C62</f>
        <v>0.97729999999999995</v>
      </c>
      <c r="D66" s="114">
        <f>1-D62</f>
        <v>0.97729999999999995</v>
      </c>
      <c r="E66" s="112"/>
      <c r="F66" s="788"/>
      <c r="G66" s="112"/>
      <c r="H66" s="7"/>
      <c r="I66" s="7"/>
      <c r="J66" s="7"/>
      <c r="K66" s="7" t="s">
        <v>18</v>
      </c>
      <c r="L66" s="7" t="s">
        <v>18</v>
      </c>
      <c r="M66" s="7"/>
      <c r="N66" s="7"/>
      <c r="O66" s="7"/>
      <c r="P66" s="7"/>
      <c r="Q66" s="7"/>
      <c r="R66" s="7" t="s">
        <v>18</v>
      </c>
      <c r="S66" s="7"/>
      <c r="T66" s="7" t="s">
        <v>18</v>
      </c>
      <c r="U66" s="7"/>
      <c r="V66" s="7"/>
      <c r="W66" s="7"/>
      <c r="X66" s="7"/>
      <c r="Y66" s="40"/>
      <c r="Z66" s="7"/>
      <c r="AA66" s="7" t="s">
        <v>18</v>
      </c>
      <c r="AB66" s="7"/>
      <c r="AC66" s="3"/>
      <c r="AW66" t="s">
        <v>18</v>
      </c>
    </row>
    <row r="67" spans="1:102" x14ac:dyDescent="0.15">
      <c r="B67" s="107" t="s">
        <v>271</v>
      </c>
      <c r="C67" s="117">
        <f>+C61*C66</f>
        <v>165349.63132499999</v>
      </c>
      <c r="D67" s="117">
        <f t="shared" ref="D67:D74" si="13">+(C67*0.3048)</f>
        <v>50398.56762786</v>
      </c>
      <c r="E67" s="116">
        <f>+D67/D79</f>
        <v>0.35167992424242422</v>
      </c>
      <c r="F67" s="788"/>
      <c r="G67" s="112"/>
      <c r="H67" s="7"/>
      <c r="I67" s="7"/>
      <c r="J67" s="7"/>
      <c r="K67" s="7" t="s">
        <v>18</v>
      </c>
      <c r="L67" s="7" t="s">
        <v>18</v>
      </c>
      <c r="M67" s="7" t="s">
        <v>18</v>
      </c>
      <c r="N67" s="7"/>
      <c r="O67" s="7"/>
      <c r="P67" s="7"/>
      <c r="Q67" s="4" t="s">
        <v>18</v>
      </c>
      <c r="R67" s="7"/>
      <c r="S67" s="7"/>
      <c r="T67" s="7"/>
      <c r="U67" s="7"/>
      <c r="V67" s="7"/>
      <c r="W67" s="7"/>
      <c r="X67" s="7"/>
      <c r="Y67" s="40"/>
      <c r="Z67" s="7"/>
      <c r="AA67" s="7"/>
      <c r="AB67" s="7"/>
      <c r="AC67" s="3"/>
      <c r="CO67" s="2" t="s">
        <v>18</v>
      </c>
    </row>
    <row r="68" spans="1:102" x14ac:dyDescent="0.15">
      <c r="B68" s="91" t="s">
        <v>273</v>
      </c>
      <c r="C68" s="117">
        <f>+CG54</f>
        <v>19951.166666666668</v>
      </c>
      <c r="D68" s="117">
        <f t="shared" si="13"/>
        <v>6081.115600000001</v>
      </c>
      <c r="E68" s="110">
        <f>+D68/D79</f>
        <v>4.2433870131166528E-2</v>
      </c>
      <c r="F68" s="788"/>
      <c r="G68" s="112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40" t="s">
        <v>18</v>
      </c>
      <c r="Z68" s="7"/>
      <c r="AA68" s="7"/>
      <c r="AB68" s="7"/>
      <c r="AC68" s="3"/>
    </row>
    <row r="69" spans="1:102" x14ac:dyDescent="0.15">
      <c r="B69" s="107" t="s">
        <v>282</v>
      </c>
      <c r="C69" s="111">
        <f>+BU54</f>
        <v>2.3599999999999999E-2</v>
      </c>
      <c r="D69" s="111">
        <f>+BU54</f>
        <v>2.3599999999999999E-2</v>
      </c>
      <c r="E69" s="112"/>
      <c r="F69" s="788"/>
      <c r="G69" s="112"/>
      <c r="H69" s="7" t="s">
        <v>18</v>
      </c>
      <c r="I69" s="7"/>
      <c r="J69" s="7"/>
      <c r="K69" s="7"/>
      <c r="L69" s="7" t="s">
        <v>18</v>
      </c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40" t="s">
        <v>18</v>
      </c>
      <c r="Z69" s="7"/>
      <c r="AA69" s="7"/>
      <c r="AB69" s="7"/>
      <c r="AC69" s="3"/>
    </row>
    <row r="70" spans="1:102" x14ac:dyDescent="0.15">
      <c r="B70" s="91" t="s">
        <v>280</v>
      </c>
      <c r="C70" s="108" t="s">
        <v>18</v>
      </c>
      <c r="D70" s="109" t="s">
        <v>18</v>
      </c>
      <c r="E70" s="110" t="s">
        <v>18</v>
      </c>
      <c r="F70" s="788"/>
      <c r="G70" s="112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40"/>
      <c r="Z70" s="7"/>
      <c r="AA70" s="7"/>
      <c r="AB70" s="7"/>
      <c r="AC70" s="3"/>
    </row>
    <row r="71" spans="1:102" x14ac:dyDescent="0.15">
      <c r="B71" s="107" t="s">
        <v>274</v>
      </c>
      <c r="C71" s="117">
        <f>+C67-C68</f>
        <v>145398.46465833334</v>
      </c>
      <c r="D71" s="117">
        <f t="shared" si="13"/>
        <v>44317.452027860003</v>
      </c>
      <c r="E71" s="110">
        <f>+D71/D79</f>
        <v>0.30924605411125772</v>
      </c>
      <c r="F71" s="788"/>
      <c r="G71" s="112"/>
      <c r="H71" s="7"/>
      <c r="I71" s="7" t="s">
        <v>18</v>
      </c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40"/>
      <c r="Z71" s="7"/>
      <c r="AA71" s="7"/>
      <c r="AB71" s="7"/>
      <c r="AC71" s="3"/>
    </row>
    <row r="72" spans="1:102" x14ac:dyDescent="0.15">
      <c r="B72" s="107" t="s">
        <v>275</v>
      </c>
      <c r="C72" s="117">
        <f>+(K54+CU54)</f>
        <v>101516.15</v>
      </c>
      <c r="D72" s="117">
        <f t="shared" si="13"/>
        <v>30942.122520000001</v>
      </c>
      <c r="E72" s="737">
        <f>+D72/D79</f>
        <v>0.21591334468240053</v>
      </c>
      <c r="F72" s="788">
        <v>0.21591334468240053</v>
      </c>
      <c r="G72" s="112" t="s">
        <v>18</v>
      </c>
      <c r="H72" s="7"/>
      <c r="I72" s="7"/>
      <c r="J72" s="7"/>
      <c r="K72" s="7"/>
      <c r="L72" s="7" t="s">
        <v>18</v>
      </c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40"/>
      <c r="Z72" s="7"/>
      <c r="AA72" s="7"/>
      <c r="AB72" s="7"/>
      <c r="AC72" s="3"/>
    </row>
    <row r="73" spans="1:102" x14ac:dyDescent="0.15">
      <c r="B73" s="107" t="s">
        <v>276</v>
      </c>
      <c r="C73" s="117">
        <f>+C68+C72+C65</f>
        <v>124567.31666666667</v>
      </c>
      <c r="D73" s="117">
        <f t="shared" si="13"/>
        <v>37968.118119999999</v>
      </c>
      <c r="E73" s="110">
        <f>+D73/D79</f>
        <v>0.26494056344346917</v>
      </c>
      <c r="F73" s="788"/>
      <c r="G73" s="112"/>
      <c r="H73" s="7" t="s">
        <v>18</v>
      </c>
      <c r="I73" s="7" t="s">
        <v>18</v>
      </c>
      <c r="J73" s="7"/>
      <c r="K73" s="7"/>
      <c r="L73" s="7" t="s">
        <v>18</v>
      </c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40"/>
      <c r="Z73" s="7"/>
      <c r="AA73" s="7"/>
      <c r="AB73" s="7"/>
      <c r="AC73" s="3"/>
    </row>
    <row r="74" spans="1:102" x14ac:dyDescent="0.15">
      <c r="A74" s="2" t="s">
        <v>18</v>
      </c>
      <c r="B74" s="107" t="s">
        <v>283</v>
      </c>
      <c r="C74" s="814">
        <f>+AX54</f>
        <v>16634.46</v>
      </c>
      <c r="D74" s="117">
        <f t="shared" si="13"/>
        <v>5070.1834079999999</v>
      </c>
      <c r="E74" s="737">
        <f>+D74/D79</f>
        <v>3.5379610983923289E-2</v>
      </c>
      <c r="F74" s="788">
        <v>3.5379610983923289E-2</v>
      </c>
      <c r="G74" s="112"/>
      <c r="H74" s="7" t="s">
        <v>18</v>
      </c>
      <c r="I74" s="7"/>
      <c r="J74" s="7"/>
      <c r="K74" s="7"/>
      <c r="L74" s="7" t="s">
        <v>18</v>
      </c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40"/>
      <c r="Z74" s="7"/>
      <c r="AA74" s="7"/>
      <c r="AB74" s="7"/>
      <c r="AC74" s="3"/>
    </row>
    <row r="75" spans="1:102" x14ac:dyDescent="0.15">
      <c r="B75" s="107" t="s">
        <v>277</v>
      </c>
      <c r="C75" s="814">
        <f>+C74</f>
        <v>16634.46</v>
      </c>
      <c r="D75" s="814">
        <f>+D74</f>
        <v>5070.1834079999999</v>
      </c>
      <c r="E75" s="110">
        <f>+D75/D79</f>
        <v>3.5379610983923289E-2</v>
      </c>
      <c r="F75" s="788"/>
      <c r="G75" s="112" t="s">
        <v>18</v>
      </c>
      <c r="H75" s="7" t="s">
        <v>18</v>
      </c>
      <c r="I75" s="7" t="s">
        <v>18</v>
      </c>
      <c r="J75" s="7"/>
      <c r="K75" s="7"/>
      <c r="L75" s="7" t="s">
        <v>18</v>
      </c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40"/>
      <c r="Z75" s="7"/>
      <c r="AA75" s="7"/>
      <c r="AB75" s="7"/>
      <c r="AC75" s="3"/>
      <c r="CC75" s="2" t="s">
        <v>18</v>
      </c>
    </row>
    <row r="76" spans="1:102" x14ac:dyDescent="0.15">
      <c r="B76" s="107" t="s">
        <v>284</v>
      </c>
      <c r="C76" s="117">
        <f>++C72+C74</f>
        <v>118150.60999999999</v>
      </c>
      <c r="D76" s="117">
        <f>+(C76*0.3048)</f>
        <v>36012.305927999994</v>
      </c>
      <c r="E76" s="110">
        <f>+D76/D79</f>
        <v>0.25129295566632376</v>
      </c>
      <c r="F76" s="788" t="s">
        <v>18</v>
      </c>
      <c r="G76" s="112"/>
      <c r="H76" s="7" t="s">
        <v>18</v>
      </c>
      <c r="I76" s="7" t="s">
        <v>18</v>
      </c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40"/>
      <c r="Z76" s="7"/>
      <c r="AA76" s="7"/>
      <c r="AB76" s="7"/>
      <c r="AC76" s="3"/>
      <c r="CF76" s="2" t="s">
        <v>18</v>
      </c>
    </row>
    <row r="77" spans="1:102" x14ac:dyDescent="0.15">
      <c r="B77" s="107" t="s">
        <v>285</v>
      </c>
      <c r="C77" s="117">
        <f>++C73+C75</f>
        <v>141201.77666666667</v>
      </c>
      <c r="D77" s="117">
        <f>+(C77*0.3048)</f>
        <v>43038.301528000004</v>
      </c>
      <c r="E77" s="110">
        <f>+D77/D79</f>
        <v>0.30032017442739251</v>
      </c>
      <c r="F77" s="788"/>
      <c r="G77" s="112"/>
      <c r="H77" s="7" t="s">
        <v>18</v>
      </c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40"/>
      <c r="Z77" s="7"/>
      <c r="AA77" s="7"/>
      <c r="AB77" s="7"/>
      <c r="AC77" s="3"/>
      <c r="CB77" s="2" t="s">
        <v>18</v>
      </c>
    </row>
    <row r="78" spans="1:102" x14ac:dyDescent="0.15">
      <c r="B78" s="107" t="s">
        <v>296</v>
      </c>
      <c r="C78" s="117">
        <f>+BM54</f>
        <v>4693.0822357630004</v>
      </c>
      <c r="D78" s="117">
        <f>+(C78*0.3048)</f>
        <v>1430.4514654605625</v>
      </c>
      <c r="E78" s="737">
        <f>+D78/D79</f>
        <v>9.9816539771568121E-3</v>
      </c>
      <c r="F78" s="788">
        <v>9.9816539771568121E-3</v>
      </c>
      <c r="G78" s="207"/>
      <c r="H78" s="1" t="s">
        <v>18</v>
      </c>
      <c r="I78" s="1" t="s">
        <v>18</v>
      </c>
      <c r="J78" s="1"/>
      <c r="K78" s="1"/>
      <c r="L78" s="1"/>
      <c r="N78" t="s">
        <v>18</v>
      </c>
      <c r="Q78" t="s">
        <v>18</v>
      </c>
      <c r="T78" t="s">
        <v>18</v>
      </c>
      <c r="AC78" s="3"/>
      <c r="CC78" s="2" t="s">
        <v>18</v>
      </c>
      <c r="CS78" s="2" t="s">
        <v>18</v>
      </c>
    </row>
    <row r="79" spans="1:102" x14ac:dyDescent="0.15">
      <c r="B79" s="107" t="s">
        <v>287</v>
      </c>
      <c r="C79" s="814">
        <f>+U54</f>
        <v>470170.8</v>
      </c>
      <c r="D79" s="117">
        <f>+(C79*0.3048)</f>
        <v>143308.05984</v>
      </c>
      <c r="E79" s="112"/>
      <c r="F79" s="790" t="s">
        <v>18</v>
      </c>
      <c r="G79" s="710"/>
      <c r="H79" s="40" t="s">
        <v>18</v>
      </c>
      <c r="I79" s="9" t="s">
        <v>18</v>
      </c>
      <c r="J79" s="9"/>
      <c r="Q79" t="s">
        <v>18</v>
      </c>
      <c r="S79" t="s">
        <v>18</v>
      </c>
      <c r="T79" t="s">
        <v>18</v>
      </c>
      <c r="AC79" s="3"/>
      <c r="AO79" t="s">
        <v>18</v>
      </c>
      <c r="AQ79" t="s">
        <v>18</v>
      </c>
      <c r="CL79" s="2" t="s">
        <v>18</v>
      </c>
      <c r="CX79" s="859" t="s">
        <v>18</v>
      </c>
    </row>
    <row r="80" spans="1:102" x14ac:dyDescent="0.15">
      <c r="B80" s="107" t="s">
        <v>300</v>
      </c>
      <c r="C80" s="814">
        <f>+(C79-C59-C78-C72-C64-C74)-C60</f>
        <v>95330.607764236978</v>
      </c>
      <c r="D80" s="117">
        <f>+(C80*0.3048)</f>
        <v>29056.769246539432</v>
      </c>
      <c r="E80" s="737">
        <f>+D80/D79</f>
        <v>0.2027573974484102</v>
      </c>
      <c r="F80" s="788">
        <v>0.2027573974484102</v>
      </c>
      <c r="G80" s="751" t="s">
        <v>18</v>
      </c>
      <c r="H80" s="8" t="s">
        <v>18</v>
      </c>
      <c r="I80" s="8" t="s">
        <v>18</v>
      </c>
      <c r="J80" s="9"/>
      <c r="N80" t="s">
        <v>18</v>
      </c>
      <c r="Q80" t="s">
        <v>18</v>
      </c>
      <c r="AC80" s="3"/>
      <c r="AI80" s="2" t="s">
        <v>18</v>
      </c>
    </row>
    <row r="81" spans="1:112" ht="14" thickBot="1" x14ac:dyDescent="0.2">
      <c r="B81" s="89" t="s">
        <v>49</v>
      </c>
      <c r="C81" s="815">
        <f>+BV54</f>
        <v>20392.902296828281</v>
      </c>
      <c r="D81" s="816">
        <f>+BW54</f>
        <v>6215.7566200732599</v>
      </c>
      <c r="E81" s="120">
        <f>+D81/D79</f>
        <v>4.3373391747910078E-2</v>
      </c>
      <c r="F81" s="705"/>
      <c r="G81" s="710" t="s">
        <v>18</v>
      </c>
      <c r="H81" s="8"/>
      <c r="I81" s="9"/>
      <c r="J81" s="9"/>
      <c r="AC81" s="3"/>
      <c r="CX81" s="859" t="s">
        <v>18</v>
      </c>
    </row>
    <row r="82" spans="1:112" ht="14" thickBot="1" x14ac:dyDescent="0.2">
      <c r="B82" s="42" t="s">
        <v>587</v>
      </c>
      <c r="C82" s="714">
        <f>+DC54/BK54</f>
        <v>0.2935904994525394</v>
      </c>
      <c r="D82" s="715">
        <f>+DC54/BK54</f>
        <v>0.2935904994525394</v>
      </c>
      <c r="E82" s="716"/>
      <c r="F82" s="707"/>
      <c r="G82" s="708"/>
      <c r="H82" s="8"/>
      <c r="I82" s="9"/>
      <c r="J82" s="9"/>
      <c r="K82" t="s">
        <v>18</v>
      </c>
      <c r="L82" t="s">
        <v>18</v>
      </c>
      <c r="AC82" s="3"/>
    </row>
    <row r="83" spans="1:112" ht="14" thickBot="1" x14ac:dyDescent="0.2">
      <c r="B83" s="42" t="s">
        <v>715</v>
      </c>
      <c r="C83" s="476"/>
      <c r="D83" s="711"/>
      <c r="E83" s="712" t="s">
        <v>18</v>
      </c>
      <c r="F83" s="750">
        <f>SUM(F59:F81)</f>
        <v>1</v>
      </c>
      <c r="G83" s="708"/>
      <c r="H83" s="8" t="s">
        <v>18</v>
      </c>
      <c r="I83" s="9"/>
      <c r="J83" s="9"/>
      <c r="K83" t="s">
        <v>18</v>
      </c>
      <c r="P83" t="s">
        <v>18</v>
      </c>
      <c r="AC83" s="3"/>
      <c r="DB83" s="859" t="s">
        <v>18</v>
      </c>
    </row>
    <row r="84" spans="1:112" x14ac:dyDescent="0.15">
      <c r="A84" s="2" t="s">
        <v>18</v>
      </c>
      <c r="B84" s="264" t="s">
        <v>705</v>
      </c>
      <c r="C84" s="717" t="s">
        <v>294</v>
      </c>
      <c r="D84" s="263"/>
      <c r="E84" s="263" t="s">
        <v>799</v>
      </c>
      <c r="F84" s="263" t="s">
        <v>18</v>
      </c>
      <c r="G84" s="83"/>
      <c r="H84" s="8" t="s">
        <v>18</v>
      </c>
      <c r="I84" s="9" t="s">
        <v>18</v>
      </c>
      <c r="J84" s="9"/>
      <c r="K84" s="2" t="s">
        <v>18</v>
      </c>
      <c r="O84" t="s">
        <v>18</v>
      </c>
      <c r="P84" t="s">
        <v>18</v>
      </c>
      <c r="S84" t="s">
        <v>18</v>
      </c>
      <c r="AC84" s="3"/>
    </row>
    <row r="85" spans="1:112" ht="14" thickBot="1" x14ac:dyDescent="0.2">
      <c r="B85" s="82"/>
      <c r="C85" s="189" t="s">
        <v>295</v>
      </c>
      <c r="D85" s="313"/>
      <c r="E85" s="313"/>
      <c r="F85" s="34"/>
      <c r="G85" s="35"/>
      <c r="H85" s="8" t="s">
        <v>18</v>
      </c>
      <c r="N85" t="s">
        <v>18</v>
      </c>
      <c r="P85" t="s">
        <v>18</v>
      </c>
      <c r="CQ85" s="34"/>
      <c r="CR85" s="34"/>
      <c r="CS85" s="34"/>
    </row>
    <row r="86" spans="1:112" ht="14" thickBot="1" x14ac:dyDescent="0.2">
      <c r="A86" s="372"/>
      <c r="B86" s="728"/>
      <c r="C86" s="525"/>
      <c r="D86" s="729"/>
      <c r="E86" s="729"/>
      <c r="F86" s="730"/>
      <c r="G86" s="730"/>
      <c r="H86" s="730"/>
      <c r="I86" s="730"/>
      <c r="J86" s="730"/>
      <c r="K86" s="525"/>
      <c r="L86" s="525"/>
      <c r="M86" s="525"/>
      <c r="N86" s="525"/>
      <c r="O86" s="525"/>
      <c r="P86" s="525"/>
      <c r="Q86" s="525"/>
      <c r="R86" s="525"/>
      <c r="S86" s="525"/>
      <c r="T86" s="525"/>
      <c r="U86" s="525"/>
      <c r="V86" s="525"/>
      <c r="W86" s="525"/>
      <c r="X86" s="525"/>
      <c r="Y86" s="525"/>
      <c r="Z86" s="525"/>
      <c r="AA86" s="525"/>
      <c r="AB86" s="525"/>
      <c r="AC86" s="729"/>
      <c r="AD86" s="525"/>
      <c r="AE86" s="525"/>
      <c r="AF86" s="525"/>
      <c r="AG86" s="525"/>
      <c r="AH86" s="525"/>
      <c r="AI86" s="525"/>
      <c r="AJ86" s="525"/>
      <c r="AK86" s="525"/>
      <c r="AL86" s="525"/>
      <c r="AM86" s="525"/>
      <c r="AN86" s="525"/>
      <c r="AO86" s="525"/>
      <c r="AP86" s="525"/>
      <c r="AQ86" s="525"/>
      <c r="AR86" s="525"/>
      <c r="AS86" s="525"/>
      <c r="AT86" s="525"/>
      <c r="AU86" s="525"/>
      <c r="AV86" s="525"/>
      <c r="AW86" s="525"/>
      <c r="AX86" s="525"/>
      <c r="AY86" s="525"/>
      <c r="AZ86" s="525"/>
      <c r="BA86" s="525"/>
      <c r="BB86" s="525"/>
      <c r="BC86" s="525"/>
      <c r="BD86" s="525"/>
      <c r="BE86" s="525"/>
      <c r="BF86" s="525"/>
      <c r="BG86" s="525"/>
      <c r="BH86" s="525"/>
      <c r="BI86" s="525"/>
      <c r="BJ86" s="525"/>
      <c r="BK86" s="525"/>
      <c r="BL86" s="525"/>
      <c r="BM86" s="525"/>
      <c r="BN86" s="525"/>
      <c r="BO86" s="525"/>
      <c r="BP86" s="525"/>
      <c r="BQ86" s="525"/>
      <c r="BR86" s="525"/>
      <c r="BS86" s="525"/>
      <c r="BT86" s="525"/>
      <c r="BU86" s="525"/>
      <c r="BV86" s="525"/>
      <c r="BW86" s="525"/>
      <c r="BX86" s="525"/>
      <c r="BY86" s="525"/>
      <c r="BZ86" s="525"/>
      <c r="CA86" s="525"/>
      <c r="CB86" s="525"/>
      <c r="CC86" s="525"/>
      <c r="CD86" s="525"/>
      <c r="CE86" s="525"/>
      <c r="CF86" s="525"/>
      <c r="CG86" s="525"/>
      <c r="CH86" s="525"/>
      <c r="CI86" s="525"/>
      <c r="CJ86" s="525"/>
      <c r="CK86" s="525"/>
      <c r="CL86" s="525"/>
      <c r="CM86" s="525"/>
      <c r="CN86" s="525"/>
      <c r="CO86" s="525"/>
      <c r="CP86" s="525"/>
      <c r="CQ86" s="257"/>
      <c r="CR86" s="257"/>
      <c r="CS86" s="257"/>
      <c r="CT86" s="933"/>
      <c r="CU86" s="933"/>
      <c r="CV86" s="933"/>
      <c r="CW86" s="937"/>
      <c r="CX86" s="933"/>
      <c r="CY86" s="933"/>
      <c r="CZ86" s="937"/>
      <c r="DA86" s="933"/>
      <c r="DB86" s="937"/>
      <c r="DC86" s="937"/>
      <c r="DD86" s="937"/>
      <c r="DE86" s="937"/>
      <c r="DH86" s="859" t="s">
        <v>18</v>
      </c>
    </row>
    <row r="87" spans="1:112" x14ac:dyDescent="0.15">
      <c r="A87" s="618" t="s">
        <v>0</v>
      </c>
      <c r="B87" s="618" t="s">
        <v>42</v>
      </c>
      <c r="C87" s="564" t="s">
        <v>46</v>
      </c>
      <c r="D87" s="564" t="s">
        <v>48</v>
      </c>
      <c r="E87" s="564" t="s">
        <v>47</v>
      </c>
      <c r="F87" s="564" t="s">
        <v>48</v>
      </c>
      <c r="G87" s="564" t="s">
        <v>251</v>
      </c>
      <c r="H87" s="564" t="s">
        <v>252</v>
      </c>
      <c r="I87" s="564" t="s">
        <v>251</v>
      </c>
      <c r="J87" s="564" t="s">
        <v>252</v>
      </c>
      <c r="K87" s="564" t="s">
        <v>125</v>
      </c>
      <c r="L87" s="564" t="s">
        <v>125</v>
      </c>
      <c r="M87" s="564" t="s">
        <v>62</v>
      </c>
      <c r="N87" s="564" t="s">
        <v>62</v>
      </c>
      <c r="O87" s="564" t="s">
        <v>127</v>
      </c>
      <c r="P87" s="564" t="s">
        <v>127</v>
      </c>
      <c r="Q87" s="564" t="s">
        <v>44</v>
      </c>
      <c r="R87" s="564" t="s">
        <v>44</v>
      </c>
      <c r="S87" s="564" t="s">
        <v>45</v>
      </c>
      <c r="T87" s="564" t="s">
        <v>45</v>
      </c>
      <c r="U87" s="564" t="s">
        <v>333</v>
      </c>
      <c r="V87" s="564" t="s">
        <v>333</v>
      </c>
      <c r="W87" s="564" t="s">
        <v>44</v>
      </c>
      <c r="X87" s="564" t="s">
        <v>44</v>
      </c>
      <c r="Y87" s="564" t="s">
        <v>267</v>
      </c>
      <c r="Z87" s="564" t="s">
        <v>267</v>
      </c>
      <c r="AA87" s="564" t="s">
        <v>126</v>
      </c>
      <c r="AB87" s="564" t="s">
        <v>126</v>
      </c>
      <c r="AC87" s="564" t="s">
        <v>10</v>
      </c>
      <c r="AD87" s="564" t="s">
        <v>10</v>
      </c>
      <c r="AE87" s="32" t="s">
        <v>817</v>
      </c>
      <c r="AF87" s="32" t="s">
        <v>817</v>
      </c>
      <c r="AG87" s="564" t="s">
        <v>69</v>
      </c>
      <c r="AH87" s="564" t="s">
        <v>69</v>
      </c>
      <c r="AI87" s="564" t="s">
        <v>87</v>
      </c>
      <c r="AJ87" s="564" t="s">
        <v>87</v>
      </c>
      <c r="AK87" s="564" t="s">
        <v>87</v>
      </c>
      <c r="AL87" s="564" t="s">
        <v>87</v>
      </c>
      <c r="AM87" s="564" t="s">
        <v>557</v>
      </c>
      <c r="AN87" s="564" t="s">
        <v>557</v>
      </c>
      <c r="AO87" s="564" t="s">
        <v>93</v>
      </c>
      <c r="AP87" s="564" t="s">
        <v>93</v>
      </c>
      <c r="AQ87" s="564" t="s">
        <v>93</v>
      </c>
      <c r="AR87" s="564" t="s">
        <v>93</v>
      </c>
      <c r="AS87" s="564" t="s">
        <v>293</v>
      </c>
      <c r="AT87" s="564" t="s">
        <v>293</v>
      </c>
      <c r="AU87" s="564" t="s">
        <v>293</v>
      </c>
      <c r="AV87" s="564" t="s">
        <v>293</v>
      </c>
      <c r="AW87" s="564" t="s">
        <v>293</v>
      </c>
      <c r="AX87" s="564" t="s">
        <v>293</v>
      </c>
      <c r="AY87" s="564" t="s">
        <v>323</v>
      </c>
      <c r="AZ87" s="564" t="s">
        <v>323</v>
      </c>
      <c r="BA87" s="564" t="s">
        <v>323</v>
      </c>
      <c r="BB87" s="564" t="s">
        <v>323</v>
      </c>
      <c r="BC87" s="564" t="s">
        <v>323</v>
      </c>
      <c r="BD87" s="564" t="s">
        <v>323</v>
      </c>
      <c r="BE87" s="606" t="s">
        <v>324</v>
      </c>
      <c r="BF87" s="606" t="s">
        <v>324</v>
      </c>
      <c r="BG87" s="131"/>
      <c r="BH87" s="131"/>
      <c r="BI87" s="564" t="s">
        <v>18</v>
      </c>
      <c r="BJ87" s="131"/>
      <c r="BK87" s="564" t="s">
        <v>84</v>
      </c>
      <c r="BL87" s="564" t="s">
        <v>84</v>
      </c>
      <c r="BM87" s="564" t="s">
        <v>84</v>
      </c>
      <c r="BN87" s="564" t="s">
        <v>84</v>
      </c>
      <c r="BO87" s="564" t="s">
        <v>10</v>
      </c>
      <c r="BP87" s="32" t="s">
        <v>817</v>
      </c>
      <c r="BQ87" s="564" t="s">
        <v>69</v>
      </c>
      <c r="BR87" s="564" t="s">
        <v>62</v>
      </c>
      <c r="BS87" s="564" t="s">
        <v>93</v>
      </c>
      <c r="BT87" s="606" t="s">
        <v>291</v>
      </c>
      <c r="BU87" s="606" t="s">
        <v>292</v>
      </c>
      <c r="BV87" s="606" t="s">
        <v>2</v>
      </c>
      <c r="BW87" s="606" t="s">
        <v>2</v>
      </c>
      <c r="BX87" s="564" t="s">
        <v>588</v>
      </c>
      <c r="BY87" s="564" t="s">
        <v>261</v>
      </c>
      <c r="BZ87" s="564" t="s">
        <v>261</v>
      </c>
      <c r="CA87" s="564" t="s">
        <v>266</v>
      </c>
      <c r="CB87" s="564" t="s">
        <v>261</v>
      </c>
      <c r="CC87" s="564" t="s">
        <v>254</v>
      </c>
      <c r="CD87" s="564" t="s">
        <v>254</v>
      </c>
      <c r="CE87" s="564" t="s">
        <v>254</v>
      </c>
      <c r="CF87" s="564" t="s">
        <v>254</v>
      </c>
      <c r="CG87" s="564" t="s">
        <v>254</v>
      </c>
      <c r="CH87" s="564" t="s">
        <v>254</v>
      </c>
      <c r="CI87" s="606" t="s">
        <v>348</v>
      </c>
      <c r="CJ87" s="606" t="s">
        <v>348</v>
      </c>
      <c r="CK87" s="606" t="s">
        <v>556</v>
      </c>
      <c r="CL87" s="606" t="s">
        <v>556</v>
      </c>
      <c r="CM87" s="606" t="s">
        <v>556</v>
      </c>
      <c r="CN87" s="606" t="s">
        <v>556</v>
      </c>
      <c r="CO87" s="606" t="s">
        <v>583</v>
      </c>
      <c r="CP87" s="606" t="s">
        <v>583</v>
      </c>
      <c r="CQ87" s="264" t="s">
        <v>229</v>
      </c>
      <c r="CR87" s="484" t="s">
        <v>758</v>
      </c>
      <c r="CS87" s="485" t="s">
        <v>758</v>
      </c>
      <c r="CT87" s="48" t="s">
        <v>921</v>
      </c>
      <c r="CU87" s="46" t="s">
        <v>938</v>
      </c>
      <c r="CV87" s="46" t="s">
        <v>938</v>
      </c>
      <c r="CW87" s="939" t="s">
        <v>922</v>
      </c>
      <c r="CX87" s="46" t="s">
        <v>938</v>
      </c>
      <c r="CY87" s="46" t="s">
        <v>938</v>
      </c>
      <c r="CZ87" s="935" t="s">
        <v>925</v>
      </c>
      <c r="DA87" s="46" t="s">
        <v>938</v>
      </c>
      <c r="DB87" s="46" t="s">
        <v>938</v>
      </c>
      <c r="DC87" s="147" t="s">
        <v>888</v>
      </c>
      <c r="DD87" s="147" t="s">
        <v>938</v>
      </c>
      <c r="DE87" s="147" t="s">
        <v>938</v>
      </c>
    </row>
    <row r="88" spans="1:112" ht="14" thickBot="1" x14ac:dyDescent="0.2">
      <c r="A88" s="735" t="s">
        <v>641</v>
      </c>
      <c r="B88" s="690"/>
      <c r="C88" s="270" t="s">
        <v>43</v>
      </c>
      <c r="D88" s="270"/>
      <c r="E88" s="270" t="s">
        <v>39</v>
      </c>
      <c r="F88" s="270"/>
      <c r="G88" s="270" t="s">
        <v>43</v>
      </c>
      <c r="H88" s="270" t="s">
        <v>43</v>
      </c>
      <c r="I88" s="270" t="s">
        <v>39</v>
      </c>
      <c r="J88" s="270" t="s">
        <v>39</v>
      </c>
      <c r="K88" s="270" t="s">
        <v>95</v>
      </c>
      <c r="L88" s="270" t="s">
        <v>96</v>
      </c>
      <c r="M88" s="270" t="s">
        <v>88</v>
      </c>
      <c r="N88" s="270" t="s">
        <v>89</v>
      </c>
      <c r="O88" s="270" t="s">
        <v>334</v>
      </c>
      <c r="P88" s="270" t="s">
        <v>335</v>
      </c>
      <c r="Q88" s="270" t="s">
        <v>63</v>
      </c>
      <c r="R88" s="270" t="s">
        <v>66</v>
      </c>
      <c r="S88" s="270" t="s">
        <v>64</v>
      </c>
      <c r="T88" s="270" t="s">
        <v>65</v>
      </c>
      <c r="U88" s="270" t="s">
        <v>64</v>
      </c>
      <c r="V88" s="270" t="s">
        <v>65</v>
      </c>
      <c r="W88" s="270" t="s">
        <v>98</v>
      </c>
      <c r="X88" s="270" t="s">
        <v>99</v>
      </c>
      <c r="Y88" s="270" t="s">
        <v>128</v>
      </c>
      <c r="Z88" s="270" t="s">
        <v>129</v>
      </c>
      <c r="AA88" s="270" t="s">
        <v>95</v>
      </c>
      <c r="AB88" s="270" t="s">
        <v>96</v>
      </c>
      <c r="AC88" s="270" t="s">
        <v>83</v>
      </c>
      <c r="AD88" s="270" t="s">
        <v>82</v>
      </c>
      <c r="AE88" s="33" t="s">
        <v>83</v>
      </c>
      <c r="AF88" s="33" t="s">
        <v>82</v>
      </c>
      <c r="AG88" s="270" t="s">
        <v>70</v>
      </c>
      <c r="AH88" s="270" t="s">
        <v>71</v>
      </c>
      <c r="AI88" s="270" t="s">
        <v>90</v>
      </c>
      <c r="AJ88" s="270" t="s">
        <v>91</v>
      </c>
      <c r="AK88" s="270" t="s">
        <v>95</v>
      </c>
      <c r="AL88" s="270" t="s">
        <v>96</v>
      </c>
      <c r="AM88" s="270" t="s">
        <v>564</v>
      </c>
      <c r="AN88" s="270" t="s">
        <v>565</v>
      </c>
      <c r="AO88" s="270" t="s">
        <v>90</v>
      </c>
      <c r="AP88" s="270" t="s">
        <v>91</v>
      </c>
      <c r="AQ88" s="270" t="s">
        <v>95</v>
      </c>
      <c r="AR88" s="270" t="s">
        <v>96</v>
      </c>
      <c r="AS88" s="270" t="s">
        <v>88</v>
      </c>
      <c r="AT88" s="270" t="s">
        <v>89</v>
      </c>
      <c r="AU88" s="270" t="s">
        <v>90</v>
      </c>
      <c r="AV88" s="270" t="s">
        <v>91</v>
      </c>
      <c r="AW88" s="270" t="s">
        <v>95</v>
      </c>
      <c r="AX88" s="270" t="s">
        <v>96</v>
      </c>
      <c r="AY88" s="270" t="s">
        <v>88</v>
      </c>
      <c r="AZ88" s="270" t="s">
        <v>89</v>
      </c>
      <c r="BA88" s="270" t="s">
        <v>90</v>
      </c>
      <c r="BB88" s="270" t="s">
        <v>91</v>
      </c>
      <c r="BC88" s="270" t="s">
        <v>95</v>
      </c>
      <c r="BD88" s="270" t="s">
        <v>96</v>
      </c>
      <c r="BE88" s="638" t="s">
        <v>325</v>
      </c>
      <c r="BF88" s="638" t="s">
        <v>326</v>
      </c>
      <c r="BG88" s="270" t="s">
        <v>75</v>
      </c>
      <c r="BH88" s="270" t="s">
        <v>72</v>
      </c>
      <c r="BI88" s="270" t="s">
        <v>73</v>
      </c>
      <c r="BJ88" s="270" t="s">
        <v>74</v>
      </c>
      <c r="BK88" s="270" t="s">
        <v>73</v>
      </c>
      <c r="BL88" s="270" t="s">
        <v>85</v>
      </c>
      <c r="BM88" s="270" t="s">
        <v>288</v>
      </c>
      <c r="BN88" s="270" t="s">
        <v>289</v>
      </c>
      <c r="BO88" s="270" t="s">
        <v>86</v>
      </c>
      <c r="BP88" s="33" t="s">
        <v>86</v>
      </c>
      <c r="BQ88" s="270" t="s">
        <v>92</v>
      </c>
      <c r="BR88" s="270" t="s">
        <v>94</v>
      </c>
      <c r="BS88" s="270" t="s">
        <v>94</v>
      </c>
      <c r="BT88" s="638" t="s">
        <v>290</v>
      </c>
      <c r="BU88" s="638" t="s">
        <v>290</v>
      </c>
      <c r="BV88" s="638" t="s">
        <v>298</v>
      </c>
      <c r="BW88" s="638" t="s">
        <v>299</v>
      </c>
      <c r="BX88" s="270" t="s">
        <v>255</v>
      </c>
      <c r="BY88" s="270" t="s">
        <v>256</v>
      </c>
      <c r="BZ88" s="270" t="s">
        <v>257</v>
      </c>
      <c r="CA88" s="270" t="s">
        <v>258</v>
      </c>
      <c r="CB88" s="270" t="s">
        <v>259</v>
      </c>
      <c r="CC88" s="270" t="s">
        <v>260</v>
      </c>
      <c r="CD88" s="270" t="s">
        <v>327</v>
      </c>
      <c r="CE88" s="270" t="s">
        <v>264</v>
      </c>
      <c r="CF88" s="270" t="s">
        <v>265</v>
      </c>
      <c r="CG88" s="270" t="s">
        <v>262</v>
      </c>
      <c r="CH88" s="270" t="s">
        <v>263</v>
      </c>
      <c r="CI88" s="638" t="s">
        <v>579</v>
      </c>
      <c r="CJ88" s="638" t="s">
        <v>580</v>
      </c>
      <c r="CK88" s="270" t="s">
        <v>581</v>
      </c>
      <c r="CL88" s="270" t="s">
        <v>574</v>
      </c>
      <c r="CM88" s="270" t="s">
        <v>582</v>
      </c>
      <c r="CN88" s="270" t="s">
        <v>577</v>
      </c>
      <c r="CO88" s="638" t="s">
        <v>584</v>
      </c>
      <c r="CP88" s="638" t="s">
        <v>585</v>
      </c>
      <c r="CQ88" s="465" t="s">
        <v>757</v>
      </c>
      <c r="CR88" s="581" t="s">
        <v>760</v>
      </c>
      <c r="CS88" s="582" t="s">
        <v>759</v>
      </c>
      <c r="CT88" s="89" t="s">
        <v>10</v>
      </c>
      <c r="CU88" s="47" t="s">
        <v>937</v>
      </c>
      <c r="CV88" s="47" t="s">
        <v>939</v>
      </c>
      <c r="CW88" s="936" t="s">
        <v>10</v>
      </c>
      <c r="CX88" s="47" t="s">
        <v>937</v>
      </c>
      <c r="CY88" s="47" t="s">
        <v>939</v>
      </c>
      <c r="CZ88" s="936" t="s">
        <v>10</v>
      </c>
      <c r="DA88" s="47" t="s">
        <v>937</v>
      </c>
      <c r="DB88" s="47" t="s">
        <v>939</v>
      </c>
      <c r="DC88" s="936" t="s">
        <v>951</v>
      </c>
      <c r="DD88" s="936" t="s">
        <v>937</v>
      </c>
      <c r="DE88" s="936" t="s">
        <v>939</v>
      </c>
    </row>
    <row r="89" spans="1:112" x14ac:dyDescent="0.15">
      <c r="A89" s="616" t="s">
        <v>18</v>
      </c>
      <c r="B89" s="738" t="s">
        <v>513</v>
      </c>
      <c r="C89" s="38">
        <v>16.350000000000001</v>
      </c>
      <c r="D89" s="38">
        <f>+C89*0.3048</f>
        <v>4.983480000000001</v>
      </c>
      <c r="E89" s="38">
        <v>16.350000000000001</v>
      </c>
      <c r="F89" s="38">
        <f>+D89*0.3048</f>
        <v>1.5189647040000005</v>
      </c>
      <c r="G89" s="38">
        <v>561</v>
      </c>
      <c r="H89" s="38">
        <f>+G89*0.3048</f>
        <v>170.99280000000002</v>
      </c>
      <c r="I89" s="38">
        <v>561</v>
      </c>
      <c r="J89" s="38">
        <f>+I89*0.3048</f>
        <v>170.99280000000002</v>
      </c>
      <c r="K89" s="38">
        <f>+(C89*G89)+(D89*I89)</f>
        <v>11968.082280000001</v>
      </c>
      <c r="L89" s="38">
        <f>+(K89*0.3048)</f>
        <v>3647.8714789440005</v>
      </c>
      <c r="M89" s="38">
        <v>5</v>
      </c>
      <c r="N89" s="38">
        <f>+M89*0.3048</f>
        <v>1.524</v>
      </c>
      <c r="O89" s="38">
        <v>76</v>
      </c>
      <c r="P89" s="38">
        <f>+O89*0.3048</f>
        <v>23.1648</v>
      </c>
      <c r="Q89" s="38">
        <v>81</v>
      </c>
      <c r="R89" s="38">
        <f>+Q89*0.3048</f>
        <v>24.688800000000001</v>
      </c>
      <c r="S89" s="38">
        <v>113.66670000000001</v>
      </c>
      <c r="T89" s="38">
        <f>+S89*0.3048</f>
        <v>34.645610160000004</v>
      </c>
      <c r="U89" s="38">
        <f>+BI89*S89</f>
        <v>67620.319830000008</v>
      </c>
      <c r="V89" s="92">
        <f>+U89*0.3048</f>
        <v>20610.673484184004</v>
      </c>
      <c r="W89" s="38">
        <f>+BI89*Q89</f>
        <v>48186.9</v>
      </c>
      <c r="X89" s="92">
        <f>+W89*0.3048</f>
        <v>14687.367120000001</v>
      </c>
      <c r="Y89" s="38"/>
      <c r="Z89" s="38"/>
      <c r="AA89" s="38">
        <f>+BI89*O89</f>
        <v>45212.4</v>
      </c>
      <c r="AB89" s="92">
        <f>+AA89*0.3048</f>
        <v>13780.739520000001</v>
      </c>
      <c r="AC89" s="38"/>
      <c r="AD89" s="38"/>
      <c r="AE89" s="38"/>
      <c r="AF89" s="38"/>
      <c r="AG89" s="38"/>
      <c r="AH89" s="38"/>
      <c r="AI89" s="38">
        <v>445</v>
      </c>
      <c r="AJ89" s="38">
        <f>+AI89*0.3048</f>
        <v>135.636</v>
      </c>
      <c r="AK89" s="38">
        <f>+M89*AI89</f>
        <v>2225</v>
      </c>
      <c r="AL89" s="38">
        <f>+AK89*0.3048</f>
        <v>678.18000000000006</v>
      </c>
      <c r="AM89" s="38"/>
      <c r="AN89" s="38"/>
      <c r="AO89" s="38"/>
      <c r="AP89" s="38"/>
      <c r="AQ89" s="38"/>
      <c r="AR89" s="38"/>
      <c r="AS89" s="38">
        <v>0</v>
      </c>
      <c r="AT89" s="38">
        <v>0</v>
      </c>
      <c r="AU89" s="38">
        <v>0</v>
      </c>
      <c r="AV89" s="38">
        <v>0</v>
      </c>
      <c r="AW89" s="25">
        <v>0</v>
      </c>
      <c r="AX89" s="25">
        <v>0</v>
      </c>
      <c r="AY89" s="25">
        <v>0</v>
      </c>
      <c r="AZ89" s="25">
        <v>0</v>
      </c>
      <c r="BA89" s="25">
        <v>0</v>
      </c>
      <c r="BB89" s="25">
        <v>0</v>
      </c>
      <c r="BC89" s="25">
        <v>0</v>
      </c>
      <c r="BD89" s="25">
        <v>0</v>
      </c>
      <c r="BE89" s="25">
        <v>0</v>
      </c>
      <c r="BF89" s="25">
        <v>0</v>
      </c>
      <c r="BG89" s="25">
        <v>0.11</v>
      </c>
      <c r="BH89" s="25">
        <v>0.18</v>
      </c>
      <c r="BI89" s="25">
        <v>594.9</v>
      </c>
      <c r="BJ89" s="25">
        <f>+BI89*0.3048</f>
        <v>181.32552000000001</v>
      </c>
      <c r="BK89" s="38">
        <f>+BI89*2</f>
        <v>1189.8</v>
      </c>
      <c r="BL89" s="25">
        <f>+BK89*0.3048</f>
        <v>362.65104000000002</v>
      </c>
      <c r="BM89" s="38"/>
      <c r="BN89" s="38"/>
      <c r="BO89" s="38"/>
      <c r="BP89" s="38"/>
      <c r="BQ89" s="38"/>
      <c r="BR89" s="38"/>
      <c r="BS89" s="38"/>
      <c r="BT89" s="38"/>
      <c r="BU89" s="38"/>
      <c r="BV89" s="38"/>
      <c r="BW89" s="38"/>
      <c r="BX89" s="113"/>
      <c r="BY89" s="38">
        <v>0</v>
      </c>
      <c r="BZ89" s="38">
        <f>+BY89*0.3048</f>
        <v>0</v>
      </c>
      <c r="CA89" s="38">
        <v>20</v>
      </c>
      <c r="CB89" s="38">
        <f>+CA89*0.3048</f>
        <v>6.0960000000000001</v>
      </c>
      <c r="CC89" s="113">
        <f>+Q89*BY89</f>
        <v>0</v>
      </c>
      <c r="CD89" s="113">
        <f>+CC89*0.3048</f>
        <v>0</v>
      </c>
      <c r="CE89" s="38">
        <f>+Q89*CA89</f>
        <v>1620</v>
      </c>
      <c r="CF89" s="113">
        <f>+CE89*0.3048</f>
        <v>493.77600000000001</v>
      </c>
      <c r="CG89" s="113">
        <f>+Z89+CE89</f>
        <v>1620</v>
      </c>
      <c r="CH89" s="113">
        <f>+CG89*0.3048</f>
        <v>493.77600000000001</v>
      </c>
      <c r="CI89" s="38">
        <f>+(CA89*M89)/2</f>
        <v>50</v>
      </c>
      <c r="CJ89" s="38">
        <f>+CI89*0.3048</f>
        <v>15.24</v>
      </c>
      <c r="CK89" s="38"/>
      <c r="CL89" s="38"/>
      <c r="CM89" s="38"/>
      <c r="CN89" s="38"/>
      <c r="CO89" s="38"/>
      <c r="CP89" s="38"/>
      <c r="CQ89" s="80"/>
      <c r="CR89" s="14"/>
      <c r="CS89" s="136"/>
      <c r="CT89" s="87"/>
      <c r="CU89" s="57"/>
      <c r="CW89" s="57"/>
      <c r="CX89" s="57"/>
      <c r="CZ89" s="57"/>
      <c r="DB89" s="57"/>
      <c r="DC89" s="57"/>
      <c r="DD89" s="57"/>
      <c r="DE89" s="57"/>
    </row>
    <row r="90" spans="1:112" x14ac:dyDescent="0.15">
      <c r="A90" s="617"/>
      <c r="B90" s="738" t="s">
        <v>515</v>
      </c>
      <c r="C90" s="38">
        <v>22</v>
      </c>
      <c r="D90" s="38">
        <f>+C90*0.3048</f>
        <v>6.7056000000000004</v>
      </c>
      <c r="E90" s="38">
        <v>18.666699999999999</v>
      </c>
      <c r="F90" s="38">
        <f>+D90*0.3048</f>
        <v>2.0438668800000004</v>
      </c>
      <c r="G90" s="38">
        <v>370.2</v>
      </c>
      <c r="H90" s="38">
        <f>+G90*0.3048</f>
        <v>112.83696</v>
      </c>
      <c r="I90" s="38">
        <v>396.6</v>
      </c>
      <c r="J90" s="38">
        <f>+I90*0.3048</f>
        <v>120.88368000000001</v>
      </c>
      <c r="K90" s="38">
        <f>+(C90*G90)+(D90*I90)</f>
        <v>10803.84096</v>
      </c>
      <c r="L90" s="38">
        <f>+(K90*0.3048)</f>
        <v>3293.0107246080001</v>
      </c>
      <c r="M90" s="38">
        <v>0</v>
      </c>
      <c r="N90" s="38">
        <f>+M90*0.3048</f>
        <v>0</v>
      </c>
      <c r="O90" s="38">
        <f>+Q90</f>
        <v>73</v>
      </c>
      <c r="P90" s="38">
        <f>+O90*0.3048</f>
        <v>22.250400000000003</v>
      </c>
      <c r="Q90" s="38">
        <f>+S90-M90-E90-C90</f>
        <v>73</v>
      </c>
      <c r="R90" s="38">
        <f>+Q90*0.3048</f>
        <v>22.250400000000003</v>
      </c>
      <c r="S90" s="38">
        <v>113.66670000000001</v>
      </c>
      <c r="T90" s="38">
        <f>+S90*0.3048</f>
        <v>34.645610160000004</v>
      </c>
      <c r="U90" s="38">
        <f>+BI90*S90</f>
        <v>48092.380770000003</v>
      </c>
      <c r="V90" s="92">
        <f>+U90*0.3048</f>
        <v>14658.557658696001</v>
      </c>
      <c r="W90" s="38">
        <f>+BI90*Q90</f>
        <v>30886.300000000003</v>
      </c>
      <c r="X90" s="92">
        <f>+W90*0.3048</f>
        <v>9414.1442400000014</v>
      </c>
      <c r="Y90" s="38"/>
      <c r="Z90" s="38"/>
      <c r="AA90" s="38">
        <f>+BI90*O90</f>
        <v>30886.300000000003</v>
      </c>
      <c r="AB90" s="92">
        <f>+AA90*0.3048</f>
        <v>9414.1442400000014</v>
      </c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113">
        <v>9</v>
      </c>
      <c r="AN90" s="38">
        <f>+AM90*0.3048</f>
        <v>2.7432000000000003</v>
      </c>
      <c r="AO90" s="38">
        <v>80</v>
      </c>
      <c r="AP90" s="38">
        <f>+AO90*0.3048</f>
        <v>24.384</v>
      </c>
      <c r="AQ90" s="38">
        <f>+AM90*AP90</f>
        <v>219.45600000000002</v>
      </c>
      <c r="AR90" s="38">
        <f>+AQ90*0.3048</f>
        <v>66.890188800000004</v>
      </c>
      <c r="AS90" s="38">
        <v>0</v>
      </c>
      <c r="AT90" s="38">
        <v>0</v>
      </c>
      <c r="AU90" s="38">
        <v>0</v>
      </c>
      <c r="AV90" s="38">
        <v>0</v>
      </c>
      <c r="AW90" s="38">
        <v>0</v>
      </c>
      <c r="AX90" s="38">
        <v>0</v>
      </c>
      <c r="AY90" s="38">
        <v>0</v>
      </c>
      <c r="AZ90" s="38">
        <v>0</v>
      </c>
      <c r="BA90" s="38">
        <v>0</v>
      </c>
      <c r="BB90" s="38">
        <v>0</v>
      </c>
      <c r="BC90" s="38">
        <v>0</v>
      </c>
      <c r="BD90" s="38">
        <v>0</v>
      </c>
      <c r="BE90" s="38">
        <v>0</v>
      </c>
      <c r="BF90" s="38">
        <v>0</v>
      </c>
      <c r="BG90" s="25">
        <v>0.08</v>
      </c>
      <c r="BH90" s="25">
        <v>0.13</v>
      </c>
      <c r="BI90" s="25">
        <v>423.1</v>
      </c>
      <c r="BJ90" s="25">
        <f>+BI90*0.3048</f>
        <v>128.96088</v>
      </c>
      <c r="BK90" s="38">
        <f>+BI90*2</f>
        <v>846.2</v>
      </c>
      <c r="BL90" s="25">
        <f>+BK90*0.3048</f>
        <v>257.92176000000001</v>
      </c>
      <c r="BM90" s="38"/>
      <c r="BN90" s="38"/>
      <c r="BO90" s="38"/>
      <c r="BP90" s="38"/>
      <c r="BQ90" s="38"/>
      <c r="BR90" s="38"/>
      <c r="BS90" s="38"/>
      <c r="BT90" s="38"/>
      <c r="BU90" s="38"/>
      <c r="BV90" s="38"/>
      <c r="BW90" s="38"/>
      <c r="BX90" s="113"/>
      <c r="BY90" s="38">
        <v>0</v>
      </c>
      <c r="BZ90" s="38">
        <f>+BY90*0.3048</f>
        <v>0</v>
      </c>
      <c r="CA90" s="38">
        <v>10</v>
      </c>
      <c r="CB90" s="38">
        <f>+CA90*0.3048</f>
        <v>3.048</v>
      </c>
      <c r="CC90" s="113">
        <f>+Q90*BY90</f>
        <v>0</v>
      </c>
      <c r="CD90" s="113">
        <f>+CC90*0.3048</f>
        <v>0</v>
      </c>
      <c r="CE90" s="38">
        <f>+Q90*CA90</f>
        <v>730</v>
      </c>
      <c r="CF90" s="113">
        <f>+CE90*0.3048</f>
        <v>222.50400000000002</v>
      </c>
      <c r="CG90" s="113">
        <f>+Z90+CE90</f>
        <v>730</v>
      </c>
      <c r="CH90" s="113">
        <f>+CG90*0.3048</f>
        <v>222.50400000000002</v>
      </c>
      <c r="CI90" s="38">
        <v>0</v>
      </c>
      <c r="CJ90" s="38">
        <v>0</v>
      </c>
      <c r="CK90" s="38"/>
      <c r="CL90" s="38"/>
      <c r="CM90" s="38"/>
      <c r="CN90" s="38"/>
      <c r="CO90" s="38"/>
      <c r="CP90" s="38"/>
      <c r="CQ90" s="80"/>
      <c r="CR90" s="14"/>
      <c r="CS90" s="136"/>
      <c r="CT90" s="80"/>
      <c r="CU90" s="94"/>
      <c r="CW90" s="94"/>
      <c r="CX90" s="94"/>
      <c r="CZ90" s="94"/>
      <c r="DB90" s="94"/>
      <c r="DC90" s="94"/>
      <c r="DD90" s="94"/>
      <c r="DE90" s="94"/>
    </row>
    <row r="91" spans="1:112" ht="14" thickBot="1" x14ac:dyDescent="0.2">
      <c r="A91" s="617" t="s">
        <v>18</v>
      </c>
      <c r="B91" s="738" t="s">
        <v>591</v>
      </c>
      <c r="C91" s="113">
        <v>17.166667</v>
      </c>
      <c r="D91" s="113">
        <f>+C91*0.3048</f>
        <v>5.2324001016000006</v>
      </c>
      <c r="E91" s="113">
        <v>16.5</v>
      </c>
      <c r="F91" s="113">
        <f>+D91*0.3048</f>
        <v>1.5948355509676801</v>
      </c>
      <c r="G91" s="113">
        <v>1188.9000000000001</v>
      </c>
      <c r="H91" s="113">
        <f>+G91*0.3048</f>
        <v>362.37672000000003</v>
      </c>
      <c r="I91" s="113">
        <v>1163.5999999999999</v>
      </c>
      <c r="J91" s="113">
        <f>+I91*0.3048</f>
        <v>354.66528</v>
      </c>
      <c r="K91" s="113">
        <f>+(C91*G91)+(D91*I91)</f>
        <v>26497.871154521763</v>
      </c>
      <c r="L91" s="113">
        <f>+(K91*0.3048)</f>
        <v>8076.551127898234</v>
      </c>
      <c r="M91" s="113">
        <v>0</v>
      </c>
      <c r="N91" s="113">
        <f>+M91*0.3048</f>
        <v>0</v>
      </c>
      <c r="O91" s="113">
        <v>70</v>
      </c>
      <c r="P91" s="113">
        <f>+O91*0.3048</f>
        <v>21.336000000000002</v>
      </c>
      <c r="Q91" s="113">
        <v>70</v>
      </c>
      <c r="R91" s="113">
        <f>+Q91*0.3048</f>
        <v>21.336000000000002</v>
      </c>
      <c r="S91" s="113">
        <v>113.7</v>
      </c>
      <c r="T91" s="113">
        <f>+S91*0.3048</f>
        <v>34.655760000000001</v>
      </c>
      <c r="U91" s="113">
        <f>+BI91*S91</f>
        <v>146468.34</v>
      </c>
      <c r="V91" s="113">
        <f>+U91*0.3048</f>
        <v>44643.550031999999</v>
      </c>
      <c r="W91" s="113">
        <f>+BI91*Q91</f>
        <v>90174</v>
      </c>
      <c r="X91" s="113">
        <f>+W91*0.3048</f>
        <v>27485.035200000002</v>
      </c>
      <c r="Y91" s="113"/>
      <c r="Z91" s="113"/>
      <c r="AA91" s="113">
        <f>+BI91*O91</f>
        <v>90174</v>
      </c>
      <c r="AB91" s="113">
        <f>+AA91*0.3048</f>
        <v>27485.035200000002</v>
      </c>
      <c r="AC91" s="113"/>
      <c r="AD91" s="113"/>
      <c r="AE91" s="113"/>
      <c r="AF91" s="113"/>
      <c r="AG91" s="113"/>
      <c r="AH91" s="113"/>
      <c r="AI91" s="113"/>
      <c r="AJ91" s="113"/>
      <c r="AK91" s="113"/>
      <c r="AL91" s="113"/>
      <c r="AM91" s="113">
        <v>9</v>
      </c>
      <c r="AN91" s="113">
        <f>+AM91*0.3048</f>
        <v>2.7432000000000003</v>
      </c>
      <c r="AO91" s="113">
        <v>160</v>
      </c>
      <c r="AP91" s="113">
        <f>+AO91*0.3048</f>
        <v>48.768000000000001</v>
      </c>
      <c r="AQ91" s="113">
        <f>+AM91*AP91</f>
        <v>438.91200000000003</v>
      </c>
      <c r="AR91" s="113">
        <f>+AQ91*0.3048</f>
        <v>133.78037760000001</v>
      </c>
      <c r="AS91" s="113">
        <v>0</v>
      </c>
      <c r="AT91" s="113">
        <v>0</v>
      </c>
      <c r="AU91" s="113">
        <v>0</v>
      </c>
      <c r="AV91" s="113">
        <v>0</v>
      </c>
      <c r="AW91" s="299">
        <v>0</v>
      </c>
      <c r="AX91" s="299">
        <v>0</v>
      </c>
      <c r="AY91" s="113">
        <v>0</v>
      </c>
      <c r="AZ91" s="113">
        <v>0</v>
      </c>
      <c r="BA91" s="113">
        <v>0</v>
      </c>
      <c r="BB91" s="113">
        <v>0</v>
      </c>
      <c r="BC91" s="113">
        <v>0</v>
      </c>
      <c r="BD91" s="113">
        <v>0</v>
      </c>
      <c r="BE91" s="113">
        <v>0</v>
      </c>
      <c r="BF91" s="113">
        <v>0</v>
      </c>
      <c r="BG91" s="113">
        <v>0.24</v>
      </c>
      <c r="BH91" s="113">
        <v>0.39</v>
      </c>
      <c r="BI91" s="113">
        <v>1288.2</v>
      </c>
      <c r="BJ91" s="299">
        <f>+BI91*0.3048</f>
        <v>392.64336000000003</v>
      </c>
      <c r="BK91" s="113">
        <f>+BI91*2</f>
        <v>2576.4</v>
      </c>
      <c r="BL91" s="299">
        <f>+BK91*0.3048</f>
        <v>785.28672000000006</v>
      </c>
      <c r="BM91" s="113"/>
      <c r="BN91" s="113"/>
      <c r="BO91" s="113"/>
      <c r="BP91" s="113"/>
      <c r="BQ91" s="113"/>
      <c r="BR91" s="113"/>
      <c r="BS91" s="113"/>
      <c r="BT91" s="113"/>
      <c r="BU91" s="113"/>
      <c r="BV91" s="113"/>
      <c r="BW91" s="113"/>
      <c r="BX91" s="113"/>
      <c r="BY91" s="113">
        <v>40</v>
      </c>
      <c r="BZ91" s="113">
        <f>+BY91*0.3048</f>
        <v>12.192</v>
      </c>
      <c r="CA91" s="113">
        <v>30</v>
      </c>
      <c r="CB91" s="113">
        <f>+CA91*0.3048</f>
        <v>9.1440000000000001</v>
      </c>
      <c r="CC91" s="113">
        <f>+BY91*182</f>
        <v>7280</v>
      </c>
      <c r="CD91" s="113">
        <f>+CC91*0.3048</f>
        <v>2218.944</v>
      </c>
      <c r="CE91" s="113">
        <f>+Q91*CA91</f>
        <v>2100</v>
      </c>
      <c r="CF91" s="113">
        <f>+CE91*0.3048</f>
        <v>640.08000000000004</v>
      </c>
      <c r="CG91" s="113">
        <f>+Z91+CE91</f>
        <v>2100</v>
      </c>
      <c r="CH91" s="113">
        <f>+CG91*0.3048</f>
        <v>640.08000000000004</v>
      </c>
      <c r="CI91" s="113">
        <v>0</v>
      </c>
      <c r="CJ91" s="113">
        <v>0</v>
      </c>
      <c r="CK91" s="113"/>
      <c r="CL91" s="113"/>
      <c r="CM91" s="113"/>
      <c r="CN91" s="113"/>
      <c r="CO91" s="113"/>
      <c r="CP91" s="113"/>
      <c r="CQ91" s="80"/>
      <c r="CR91" s="14"/>
      <c r="CS91" s="136"/>
      <c r="CT91" s="80"/>
      <c r="CU91" s="94"/>
      <c r="CW91" s="94"/>
      <c r="CX91" s="94"/>
      <c r="CZ91" s="94"/>
      <c r="DB91" s="94"/>
      <c r="DC91" s="94"/>
      <c r="DD91" s="94"/>
      <c r="DE91" s="94"/>
    </row>
    <row r="92" spans="1:112" ht="14" thickBot="1" x14ac:dyDescent="0.2">
      <c r="A92" s="211"/>
      <c r="B92" s="618" t="s">
        <v>97</v>
      </c>
      <c r="C92" s="564">
        <v>16</v>
      </c>
      <c r="D92" s="564">
        <f>+C92*0.3048</f>
        <v>4.8768000000000002</v>
      </c>
      <c r="E92" s="564">
        <v>16</v>
      </c>
      <c r="F92" s="564">
        <f>+E92*0.3048</f>
        <v>4.8768000000000002</v>
      </c>
      <c r="G92" s="131" t="s">
        <v>18</v>
      </c>
      <c r="H92" s="131" t="s">
        <v>18</v>
      </c>
      <c r="I92" s="131" t="s">
        <v>18</v>
      </c>
      <c r="J92" s="131" t="s">
        <v>18</v>
      </c>
      <c r="K92" s="131" t="s">
        <v>18</v>
      </c>
      <c r="L92" s="131" t="s">
        <v>18</v>
      </c>
      <c r="M92" s="131"/>
      <c r="N92" s="131"/>
      <c r="O92" s="564">
        <v>73.773937554206412</v>
      </c>
      <c r="P92" s="564">
        <f>+O92*0.3048</f>
        <v>22.486296166522116</v>
      </c>
      <c r="Q92" s="564">
        <v>73</v>
      </c>
      <c r="R92" s="564">
        <f>+Q92*0.3048</f>
        <v>22.250400000000003</v>
      </c>
      <c r="S92" s="564">
        <v>113.66670000000001</v>
      </c>
      <c r="T92" s="564">
        <f>+S92*0.3048</f>
        <v>34.645610160000004</v>
      </c>
      <c r="U92" s="131"/>
      <c r="V92" s="131"/>
      <c r="W92" s="131"/>
      <c r="X92" s="131"/>
      <c r="Y92" s="131" t="s">
        <v>18</v>
      </c>
      <c r="Z92" s="131"/>
      <c r="AA92" s="131"/>
      <c r="AB92" s="131"/>
      <c r="AC92" s="131"/>
      <c r="AD92" s="131"/>
      <c r="AE92" s="131"/>
      <c r="AF92" s="131"/>
      <c r="AG92" s="131"/>
      <c r="AH92" s="131"/>
      <c r="AI92" s="131"/>
      <c r="AJ92" s="131"/>
      <c r="AK92" s="131"/>
      <c r="AL92" s="131"/>
      <c r="AM92" s="564">
        <v>9</v>
      </c>
      <c r="AN92" s="564">
        <v>2.7</v>
      </c>
      <c r="AO92" s="131"/>
      <c r="AP92" s="131"/>
      <c r="AQ92" s="131"/>
      <c r="AR92" s="131"/>
      <c r="AS92" s="131"/>
      <c r="AT92" s="131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131"/>
      <c r="BF92" s="131"/>
      <c r="BG92" s="131"/>
      <c r="BH92" s="131"/>
      <c r="BI92" s="131"/>
      <c r="BJ92" s="131"/>
      <c r="BK92" s="131"/>
      <c r="BL92" s="131"/>
      <c r="BM92" s="131"/>
      <c r="BN92" s="131"/>
      <c r="BO92" s="131"/>
      <c r="BP92" s="131"/>
      <c r="BQ92" s="131"/>
      <c r="BR92" s="131"/>
      <c r="BS92" s="131"/>
      <c r="BT92" s="131"/>
      <c r="BU92" s="131"/>
      <c r="BV92" s="131"/>
      <c r="BW92" s="131"/>
      <c r="BX92" s="131"/>
      <c r="BY92" s="138" t="s">
        <v>18</v>
      </c>
      <c r="BZ92" s="138" t="s">
        <v>18</v>
      </c>
      <c r="CA92" s="138" t="s">
        <v>313</v>
      </c>
      <c r="CB92" s="138" t="s">
        <v>18</v>
      </c>
      <c r="CC92" s="139" t="s">
        <v>18</v>
      </c>
      <c r="CD92" s="139" t="s">
        <v>18</v>
      </c>
      <c r="CE92" s="139"/>
      <c r="CF92" s="139" t="s">
        <v>18</v>
      </c>
      <c r="CG92" s="139"/>
      <c r="CH92" s="139"/>
      <c r="CI92" s="131"/>
      <c r="CJ92" s="131"/>
      <c r="CK92" s="131"/>
      <c r="CL92" s="131"/>
      <c r="CM92" s="131"/>
      <c r="CN92" s="131"/>
      <c r="CO92" s="131"/>
      <c r="CP92" s="131"/>
      <c r="CQ92" s="86"/>
      <c r="CR92" s="44"/>
      <c r="CS92" s="45"/>
      <c r="CT92" s="86"/>
      <c r="CU92" s="934"/>
      <c r="CV92" s="934"/>
      <c r="CW92" s="934"/>
      <c r="CX92" s="934"/>
      <c r="CY92" s="934"/>
      <c r="CZ92" s="934"/>
      <c r="DA92" s="934"/>
      <c r="DB92" s="934"/>
      <c r="DC92" s="934"/>
      <c r="DD92" s="934"/>
      <c r="DE92" s="934"/>
    </row>
    <row r="93" spans="1:112" ht="14" thickBot="1" x14ac:dyDescent="0.2">
      <c r="A93" s="80"/>
      <c r="B93" s="48" t="s">
        <v>253</v>
      </c>
      <c r="C93" s="50"/>
      <c r="D93" s="50"/>
      <c r="E93" s="50"/>
      <c r="F93" s="50"/>
      <c r="G93" s="584">
        <f>+SUM(G89:G91)</f>
        <v>2120.1000000000004</v>
      </c>
      <c r="H93" s="584">
        <f>+G93*0.3048</f>
        <v>646.20648000000017</v>
      </c>
      <c r="I93" s="584">
        <f>+SUM(I89:I91)</f>
        <v>2121.1999999999998</v>
      </c>
      <c r="J93" s="584">
        <f>+I93*0.3048</f>
        <v>646.54175999999995</v>
      </c>
      <c r="K93" s="584">
        <f>+SUM(K89:K91)</f>
        <v>49269.794394521763</v>
      </c>
      <c r="L93" s="584">
        <f>+(K93*0.3048)</f>
        <v>15017.433331450235</v>
      </c>
      <c r="M93" s="138" t="s">
        <v>18</v>
      </c>
      <c r="N93" s="138" t="s">
        <v>18</v>
      </c>
      <c r="O93" s="138" t="s">
        <v>313</v>
      </c>
      <c r="P93" s="138" t="s">
        <v>18</v>
      </c>
      <c r="Q93" s="138" t="s">
        <v>18</v>
      </c>
      <c r="R93" s="138" t="s">
        <v>18</v>
      </c>
      <c r="S93" s="138" t="s">
        <v>18</v>
      </c>
      <c r="T93" s="138" t="s">
        <v>313</v>
      </c>
      <c r="U93" s="584">
        <f>+SUM(U89:U91)</f>
        <v>262181.04060000001</v>
      </c>
      <c r="V93" s="584">
        <f>+SUM(V89:V91)</f>
        <v>79912.781174880001</v>
      </c>
      <c r="W93" s="584">
        <f>+SUM(W89:W91)</f>
        <v>169247.2</v>
      </c>
      <c r="X93" s="584">
        <f>+SUM(X89:X91)</f>
        <v>51586.546560000003</v>
      </c>
      <c r="Y93" s="584" t="s">
        <v>18</v>
      </c>
      <c r="Z93" s="584" t="s">
        <v>18</v>
      </c>
      <c r="AA93" s="584">
        <f>+SUM(AA89:AA91)</f>
        <v>166272.70000000001</v>
      </c>
      <c r="AB93" s="584">
        <f>+SUM(AB89:AB91)</f>
        <v>50679.91896000001</v>
      </c>
      <c r="AC93" s="584">
        <v>1274.500037</v>
      </c>
      <c r="AD93" s="584">
        <v>388.46761127759999</v>
      </c>
      <c r="AE93" s="584">
        <v>0</v>
      </c>
      <c r="AF93" s="584">
        <v>0</v>
      </c>
      <c r="AG93" s="731">
        <v>284</v>
      </c>
      <c r="AH93" s="584">
        <f>+AG93*0.3048</f>
        <v>86.563200000000009</v>
      </c>
      <c r="AI93" s="731">
        <f>SUM(AI89:AI91)</f>
        <v>445</v>
      </c>
      <c r="AJ93" s="731">
        <f>SUM(AJ89:AJ91)</f>
        <v>135.636</v>
      </c>
      <c r="AK93" s="731">
        <f>SUM(AK89:AK91)</f>
        <v>2225</v>
      </c>
      <c r="AL93" s="731">
        <f>SUM(AL89:AL91)</f>
        <v>678.18000000000006</v>
      </c>
      <c r="AM93" s="731" t="s">
        <v>313</v>
      </c>
      <c r="AN93" s="731" t="s">
        <v>18</v>
      </c>
      <c r="AO93" s="731">
        <f>SUM(AO89:AO91)</f>
        <v>240</v>
      </c>
      <c r="AP93" s="584">
        <f>SUM(AP89:AP91)</f>
        <v>73.152000000000001</v>
      </c>
      <c r="AQ93" s="584">
        <f>SUM(AQ89:AQ91)</f>
        <v>658.36800000000005</v>
      </c>
      <c r="AR93" s="584">
        <f>SUM(AR89:AR91)</f>
        <v>200.67056640000001</v>
      </c>
      <c r="AS93" s="584" t="s">
        <v>313</v>
      </c>
      <c r="AT93" s="584" t="s">
        <v>18</v>
      </c>
      <c r="AU93" s="584">
        <f>SUM(AU89:AU91)</f>
        <v>0</v>
      </c>
      <c r="AV93" s="584">
        <f>SUM(AV89:AV91)</f>
        <v>0</v>
      </c>
      <c r="AW93" s="584">
        <f>SUM(AW89:AW91)</f>
        <v>0</v>
      </c>
      <c r="AX93" s="584">
        <f>SUM(AX89:AX91)</f>
        <v>0</v>
      </c>
      <c r="AY93" s="584" t="s">
        <v>313</v>
      </c>
      <c r="AZ93" s="584"/>
      <c r="BA93" s="584"/>
      <c r="BB93" s="584"/>
      <c r="BC93" s="584"/>
      <c r="BD93" s="584"/>
      <c r="BE93" s="584"/>
      <c r="BF93" s="584"/>
      <c r="BG93" s="731">
        <v>0.43</v>
      </c>
      <c r="BH93" s="585">
        <f>+BG93*1.609344</f>
        <v>0.69201792000000006</v>
      </c>
      <c r="BI93" s="731">
        <f>+SUM(BI89:BI91)</f>
        <v>2306.1999999999998</v>
      </c>
      <c r="BJ93" s="731">
        <f>+SUM(BJ89:BJ91)</f>
        <v>702.92975999999999</v>
      </c>
      <c r="BK93" s="731">
        <f>+BI93*2</f>
        <v>4612.3999999999996</v>
      </c>
      <c r="BL93" s="584">
        <f>+BJ93*2</f>
        <v>1405.85952</v>
      </c>
      <c r="BM93" s="742">
        <v>4154.9868116785492</v>
      </c>
      <c r="BN93" s="743">
        <v>1266.4399801996224</v>
      </c>
      <c r="BO93" s="732">
        <f>+AC93/BK93</f>
        <v>0.27632036185066344</v>
      </c>
      <c r="BP93" s="732">
        <v>0</v>
      </c>
      <c r="BQ93" s="732">
        <v>0</v>
      </c>
      <c r="BR93" s="732">
        <f>+AI93/BI93</f>
        <v>0.19295811291301709</v>
      </c>
      <c r="BS93" s="732">
        <f>+AO93/BK93</f>
        <v>5.203364842598214E-2</v>
      </c>
      <c r="BT93" s="732">
        <v>2.3355869698832205E-2</v>
      </c>
      <c r="BU93" s="732">
        <v>1.3521819299323909E-2</v>
      </c>
      <c r="BV93" s="584">
        <v>65320.502508905178</v>
      </c>
      <c r="BW93" s="585">
        <v>19909.689164714298</v>
      </c>
      <c r="BX93" s="584" t="s">
        <v>18</v>
      </c>
      <c r="BY93" s="584" t="s">
        <v>18</v>
      </c>
      <c r="BZ93" s="584" t="s">
        <v>18</v>
      </c>
      <c r="CA93" s="584" t="s">
        <v>313</v>
      </c>
      <c r="CB93" s="584" t="s">
        <v>18</v>
      </c>
      <c r="CC93" s="570">
        <f>+SUM(CC89:CC91)</f>
        <v>7280</v>
      </c>
      <c r="CD93" s="570">
        <f>+SUM(CD89:CD91)</f>
        <v>2218.944</v>
      </c>
      <c r="CE93" s="570">
        <f>+SUM(CE89:CE91)</f>
        <v>4450</v>
      </c>
      <c r="CF93" s="570">
        <f>+SUM(CF89:CF91)</f>
        <v>1356.3600000000001</v>
      </c>
      <c r="CG93" s="570">
        <f>+CC93+CE93</f>
        <v>11730</v>
      </c>
      <c r="CH93" s="570">
        <f>+CD93+CF93</f>
        <v>3575.3040000000001</v>
      </c>
      <c r="CI93" s="731">
        <f>+SUM(CI89:CI91)</f>
        <v>50</v>
      </c>
      <c r="CJ93" s="731">
        <f>+SUM(CJ89:CJ91)</f>
        <v>15.24</v>
      </c>
      <c r="CK93" s="731">
        <v>1379.3</v>
      </c>
      <c r="CL93" s="584">
        <v>420.41064</v>
      </c>
      <c r="CM93" s="584">
        <v>1587.3000000000004</v>
      </c>
      <c r="CN93" s="584">
        <v>483.80904000000004</v>
      </c>
      <c r="CO93" s="584">
        <f>+CK93+CM93</f>
        <v>2966.6000000000004</v>
      </c>
      <c r="CP93" s="584">
        <f>+CL93+CN93</f>
        <v>904.21968000000004</v>
      </c>
      <c r="CQ93" s="794">
        <v>16</v>
      </c>
      <c r="CR93" s="589">
        <f>+CQ93/BG93</f>
        <v>37.209302325581397</v>
      </c>
      <c r="CS93" s="850">
        <f>+CQ93/BH93</f>
        <v>23.120788548365912</v>
      </c>
      <c r="CT93" s="949">
        <v>680.6</v>
      </c>
      <c r="CU93" s="950">
        <f>+CT93/BG93</f>
        <v>1582.7906976744187</v>
      </c>
      <c r="CV93" s="950">
        <f>+CT93/BH93</f>
        <v>983.50054287611511</v>
      </c>
      <c r="CW93" s="950">
        <v>246.3</v>
      </c>
      <c r="CX93" s="950">
        <f>+CW93/BG93</f>
        <v>572.79069767441865</v>
      </c>
      <c r="CY93" s="950">
        <f>+CW93/BH93</f>
        <v>355.91563871640778</v>
      </c>
      <c r="CZ93" s="950">
        <v>484.7</v>
      </c>
      <c r="DA93" s="950">
        <f>+CZ93/BG93</f>
        <v>1127.2093023255813</v>
      </c>
      <c r="DB93" s="950">
        <f>+CZ93/BH93</f>
        <v>700.41538808705991</v>
      </c>
      <c r="DC93" s="946">
        <v>23</v>
      </c>
      <c r="DD93" s="950">
        <f>+DC93/BG93</f>
        <v>53.488372093023258</v>
      </c>
      <c r="DE93" s="950">
        <f>+DC93/BH93</f>
        <v>33.236133538276</v>
      </c>
    </row>
    <row r="94" spans="1:112" ht="14" thickBot="1" x14ac:dyDescent="0.2">
      <c r="A94" s="82"/>
      <c r="B94" s="42" t="s">
        <v>126</v>
      </c>
      <c r="C94" s="96"/>
      <c r="D94" s="96"/>
      <c r="E94" s="65"/>
      <c r="F94" s="65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5" t="s">
        <v>18</v>
      </c>
      <c r="V94" s="65" t="s">
        <v>18</v>
      </c>
      <c r="W94" s="97" t="s">
        <v>18</v>
      </c>
      <c r="X94" s="97" t="s">
        <v>18</v>
      </c>
      <c r="Y94" s="97" t="s">
        <v>18</v>
      </c>
      <c r="Z94" s="97" t="s">
        <v>18</v>
      </c>
      <c r="AA94" s="575">
        <v>166272.70000000001</v>
      </c>
      <c r="AB94" s="575">
        <v>50679.91896000001</v>
      </c>
      <c r="AC94" s="698"/>
      <c r="AD94" s="699"/>
      <c r="AE94" s="699"/>
      <c r="AF94" s="699"/>
      <c r="AG94" s="699"/>
      <c r="AH94" s="699"/>
      <c r="AI94" s="699"/>
      <c r="AJ94" s="699"/>
      <c r="AK94" s="699"/>
      <c r="AL94" s="699"/>
      <c r="AM94" s="699"/>
      <c r="AN94" s="699"/>
      <c r="AO94" s="699"/>
      <c r="AP94" s="699"/>
      <c r="AQ94" s="699"/>
      <c r="AR94" s="699"/>
      <c r="AS94" s="699"/>
      <c r="AT94" s="699"/>
      <c r="AU94" s="699"/>
      <c r="AV94" s="699"/>
      <c r="AW94" s="699"/>
      <c r="AX94" s="699"/>
      <c r="AY94" s="699"/>
      <c r="AZ94" s="699"/>
      <c r="BA94" s="699"/>
      <c r="BB94" s="699"/>
      <c r="BC94" s="699"/>
      <c r="BD94" s="699"/>
      <c r="BE94" s="699"/>
      <c r="BF94" s="699"/>
      <c r="BG94" s="699"/>
      <c r="BH94" s="699"/>
      <c r="BI94" s="699"/>
      <c r="BJ94" s="699"/>
      <c r="BK94" s="699"/>
      <c r="BL94" s="699"/>
      <c r="BM94" s="699"/>
      <c r="BN94" s="699"/>
      <c r="BO94" s="699"/>
      <c r="BP94" s="699"/>
      <c r="BQ94" s="699"/>
      <c r="BR94" s="699"/>
      <c r="BS94" s="699"/>
      <c r="BT94" s="699"/>
      <c r="BU94" s="699"/>
      <c r="BV94" s="699"/>
      <c r="BW94" s="699"/>
      <c r="BX94" s="699"/>
      <c r="BY94" s="699"/>
      <c r="BZ94" s="699"/>
      <c r="CA94" s="699"/>
      <c r="CB94" s="699"/>
      <c r="CC94" s="699"/>
      <c r="CD94" s="699"/>
      <c r="CE94" s="699"/>
      <c r="CF94" s="699"/>
      <c r="CG94" s="699"/>
      <c r="CH94" s="699"/>
      <c r="CI94" s="44"/>
      <c r="CJ94" s="44"/>
      <c r="CK94" s="44"/>
      <c r="CL94" s="44"/>
      <c r="CM94" s="44"/>
      <c r="CN94" s="44"/>
      <c r="CO94" s="44"/>
      <c r="CP94" s="44"/>
      <c r="CQ94" s="793" t="s">
        <v>18</v>
      </c>
      <c r="CR94" s="575" t="s">
        <v>18</v>
      </c>
      <c r="CS94" s="576" t="s">
        <v>18</v>
      </c>
      <c r="CT94" s="82"/>
      <c r="CU94" s="95"/>
      <c r="CV94" s="859" t="s">
        <v>18</v>
      </c>
      <c r="CW94" s="95"/>
      <c r="CX94" s="94"/>
      <c r="CZ94" s="934"/>
      <c r="DB94" s="934"/>
      <c r="DC94" s="95"/>
      <c r="DD94" s="95"/>
      <c r="DE94" s="95"/>
    </row>
    <row r="95" spans="1:112" ht="14" thickBot="1" x14ac:dyDescent="0.2">
      <c r="A95" s="14"/>
      <c r="B95" s="89" t="s">
        <v>705</v>
      </c>
      <c r="C95" s="33"/>
      <c r="D95" s="33"/>
      <c r="E95" s="270"/>
      <c r="F95" s="270"/>
      <c r="G95" s="217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70"/>
      <c r="V95" s="270"/>
      <c r="W95" s="284"/>
      <c r="X95" s="284"/>
      <c r="Y95" s="296" t="s">
        <v>268</v>
      </c>
      <c r="Z95" s="284"/>
      <c r="AA95" s="284"/>
      <c r="AB95" s="284"/>
      <c r="AC95" s="271"/>
      <c r="AD95" s="272"/>
      <c r="AE95" s="272"/>
      <c r="AF95" s="272"/>
      <c r="AG95" s="272"/>
      <c r="AH95" s="272"/>
      <c r="AI95" s="272"/>
      <c r="AJ95" s="272"/>
      <c r="AK95" s="272"/>
      <c r="AL95" s="272"/>
      <c r="AM95" s="272"/>
      <c r="AN95" s="272"/>
      <c r="AO95" s="272"/>
      <c r="AP95" s="272"/>
      <c r="AQ95" s="272"/>
      <c r="AR95" s="272"/>
      <c r="AS95" s="272"/>
      <c r="AT95" s="272"/>
      <c r="AU95" s="272"/>
      <c r="AV95" s="272"/>
      <c r="AW95" s="272"/>
      <c r="AX95" s="272"/>
      <c r="AY95" s="272"/>
      <c r="AZ95" s="272"/>
      <c r="BA95" s="272"/>
      <c r="BB95" s="272"/>
      <c r="BC95" s="272"/>
      <c r="BD95" s="272"/>
      <c r="BE95" s="272"/>
      <c r="BF95" s="272"/>
      <c r="BG95" s="272"/>
      <c r="BH95" s="272"/>
      <c r="BI95" s="272"/>
      <c r="BJ95" s="272"/>
      <c r="BK95" s="272"/>
      <c r="BL95" s="272"/>
      <c r="BM95" s="272"/>
      <c r="BN95" s="272"/>
      <c r="BO95" s="272"/>
      <c r="BP95" s="272"/>
      <c r="BQ95" s="272"/>
      <c r="BR95" s="272"/>
      <c r="BS95" s="272"/>
      <c r="BT95" s="272"/>
      <c r="BU95" s="272"/>
      <c r="BV95" s="272"/>
      <c r="BW95" s="272"/>
      <c r="BX95" s="272"/>
      <c r="BY95" s="272"/>
      <c r="BZ95" s="272"/>
      <c r="CA95" s="272"/>
      <c r="CB95" s="272"/>
      <c r="CC95" s="313" t="s">
        <v>589</v>
      </c>
      <c r="CD95" s="313" t="s">
        <v>590</v>
      </c>
      <c r="CE95" s="272"/>
      <c r="CF95" s="272"/>
      <c r="CG95" s="272"/>
      <c r="CH95" s="272"/>
      <c r="CI95" s="34"/>
      <c r="CJ95" s="34"/>
      <c r="CK95" s="34"/>
      <c r="CL95" s="34"/>
      <c r="CM95" s="34"/>
      <c r="CN95" s="34"/>
      <c r="CO95" s="34"/>
      <c r="CP95" s="34"/>
      <c r="CQ95" s="417" t="s">
        <v>762</v>
      </c>
      <c r="CR95" s="313" t="s">
        <v>764</v>
      </c>
      <c r="CS95" s="819" t="s">
        <v>798</v>
      </c>
      <c r="CT95" s="86"/>
      <c r="CU95" s="934"/>
      <c r="CV95" s="45"/>
      <c r="CW95" s="934"/>
      <c r="CX95" s="934"/>
      <c r="CY95" s="45"/>
      <c r="CZ95" s="934"/>
      <c r="DA95" s="45"/>
      <c r="DB95" s="934"/>
      <c r="DC95" s="934"/>
      <c r="DD95" s="934"/>
      <c r="DE95" s="934"/>
    </row>
    <row r="96" spans="1:112" x14ac:dyDescent="0.15">
      <c r="A96" s="14"/>
      <c r="B96" s="13"/>
      <c r="C96" s="13"/>
      <c r="D96" s="13"/>
      <c r="E96" s="84"/>
      <c r="F96" s="84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84"/>
      <c r="V96" s="84"/>
      <c r="W96" s="71"/>
      <c r="X96" s="71"/>
      <c r="Z96" s="71"/>
      <c r="AA96" s="71" t="s">
        <v>18</v>
      </c>
      <c r="AB96" s="71"/>
      <c r="AC96" s="121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22"/>
      <c r="AZ96" s="122"/>
      <c r="BA96" s="122"/>
      <c r="BB96" s="122"/>
      <c r="BC96" s="122"/>
      <c r="BD96" s="122"/>
      <c r="BE96" s="122"/>
      <c r="BF96" s="122"/>
      <c r="BG96" s="122"/>
      <c r="BH96" s="122"/>
      <c r="BI96" s="122"/>
      <c r="BJ96" s="122"/>
      <c r="BK96" s="122"/>
      <c r="BL96" s="122"/>
      <c r="BM96" s="122"/>
      <c r="BN96" s="122"/>
      <c r="BO96" s="122"/>
      <c r="BP96" s="122"/>
      <c r="BQ96" s="122"/>
      <c r="BR96" s="122"/>
      <c r="BS96" s="122"/>
      <c r="BT96" s="122"/>
      <c r="BU96" s="122"/>
      <c r="BV96" s="122"/>
      <c r="BW96" s="122"/>
      <c r="BX96" s="122"/>
      <c r="BY96" s="122"/>
      <c r="BZ96" s="122"/>
      <c r="CA96" s="122"/>
      <c r="CB96" s="122"/>
      <c r="CD96" s="122"/>
      <c r="CE96" s="122"/>
      <c r="CF96" s="122"/>
      <c r="CG96" s="122"/>
      <c r="CH96" s="122"/>
      <c r="CI96" s="14"/>
      <c r="CQ96" s="64"/>
      <c r="CR96" s="64"/>
      <c r="CS96" s="592" t="s">
        <v>18</v>
      </c>
      <c r="CT96" s="14"/>
      <c r="CU96" s="14"/>
    </row>
    <row r="97" spans="2:106" ht="14" thickBot="1" x14ac:dyDescent="0.2">
      <c r="B97" s="1" t="s">
        <v>352</v>
      </c>
      <c r="C97" s="13" t="s">
        <v>95</v>
      </c>
      <c r="D97" s="13" t="s">
        <v>96</v>
      </c>
      <c r="E97" s="92" t="s">
        <v>297</v>
      </c>
      <c r="F97" s="84" t="s">
        <v>714</v>
      </c>
      <c r="G97" s="84"/>
      <c r="H97" s="7"/>
      <c r="I97" s="7" t="s">
        <v>18</v>
      </c>
      <c r="J97" s="7"/>
      <c r="K97" s="7"/>
      <c r="L97" s="7"/>
      <c r="M97" s="7"/>
      <c r="N97" s="7"/>
      <c r="O97" s="7" t="s">
        <v>18</v>
      </c>
      <c r="P97" s="7"/>
      <c r="Q97" s="7"/>
      <c r="R97" s="7" t="s">
        <v>18</v>
      </c>
      <c r="S97" s="7" t="s">
        <v>18</v>
      </c>
      <c r="T97" s="7"/>
      <c r="U97" s="7"/>
      <c r="V97" s="7"/>
      <c r="W97" s="7"/>
      <c r="X97" s="7"/>
      <c r="Z97" s="7"/>
      <c r="AA97" s="7"/>
      <c r="AB97" s="7"/>
      <c r="AC97" s="3"/>
      <c r="AY97" s="2" t="s">
        <v>18</v>
      </c>
      <c r="CE97" t="s">
        <v>18</v>
      </c>
      <c r="CT97" s="14"/>
      <c r="CU97" s="14"/>
    </row>
    <row r="98" spans="2:106" x14ac:dyDescent="0.15">
      <c r="B98" s="48" t="s">
        <v>126</v>
      </c>
      <c r="C98" s="104">
        <f>+AA93</f>
        <v>166272.70000000001</v>
      </c>
      <c r="D98" s="105">
        <f>+(C98*0.3048)</f>
        <v>50679.918960000003</v>
      </c>
      <c r="E98" s="106">
        <f>+D98/D117</f>
        <v>0.63419040377399438</v>
      </c>
      <c r="F98" s="709" t="s">
        <v>18</v>
      </c>
      <c r="G98" s="747" t="s">
        <v>18</v>
      </c>
      <c r="H98" s="7"/>
      <c r="I98" s="7"/>
      <c r="J98" s="7"/>
      <c r="K98" s="7"/>
      <c r="L98" s="7"/>
      <c r="M98" s="7"/>
      <c r="N98" s="7"/>
      <c r="O98" s="7"/>
      <c r="P98" s="7"/>
      <c r="Q98" s="7" t="s">
        <v>18</v>
      </c>
      <c r="R98" s="7"/>
      <c r="S98" s="7"/>
      <c r="T98" s="7"/>
      <c r="U98" s="7"/>
      <c r="V98" s="7"/>
      <c r="W98" s="7"/>
      <c r="X98" s="7"/>
      <c r="Y98" s="2" t="s">
        <v>18</v>
      </c>
      <c r="Z98" s="7"/>
      <c r="AA98" s="7"/>
      <c r="AB98" s="7"/>
      <c r="AC98" s="3"/>
      <c r="AS98" s="2" t="s">
        <v>18</v>
      </c>
      <c r="BJ98" t="s">
        <v>18</v>
      </c>
      <c r="CT98" s="14"/>
      <c r="CU98" s="14"/>
    </row>
    <row r="99" spans="2:106" x14ac:dyDescent="0.15">
      <c r="B99" s="107" t="s">
        <v>269</v>
      </c>
      <c r="C99" s="108">
        <f>+AQ93</f>
        <v>658.36800000000005</v>
      </c>
      <c r="D99" s="109">
        <f>+(C99*0.3048)</f>
        <v>200.67056640000001</v>
      </c>
      <c r="E99" s="737">
        <f>+D99/D117</f>
        <v>2.5111197914743496E-3</v>
      </c>
      <c r="F99" s="788">
        <v>2.5111197914743496E-3</v>
      </c>
      <c r="G99" s="748" t="s">
        <v>18</v>
      </c>
      <c r="H99" s="7" t="s">
        <v>18</v>
      </c>
      <c r="I99" s="7"/>
      <c r="J99" s="7"/>
      <c r="K99" s="7"/>
      <c r="L99" s="7" t="s">
        <v>18</v>
      </c>
      <c r="M99" s="7"/>
      <c r="N99" s="7"/>
      <c r="O99" s="7" t="s">
        <v>18</v>
      </c>
      <c r="P99" s="7" t="s">
        <v>18</v>
      </c>
      <c r="Q99" s="7"/>
      <c r="R99" s="7"/>
      <c r="S99" s="7"/>
      <c r="T99" s="7" t="s">
        <v>18</v>
      </c>
      <c r="U99" s="7"/>
      <c r="V99" s="7"/>
      <c r="W99" s="7"/>
      <c r="X99" s="7"/>
      <c r="Y99" s="40"/>
      <c r="Z99" s="7"/>
      <c r="AA99" s="7"/>
      <c r="AB99" s="7"/>
      <c r="AC99" s="3"/>
      <c r="AO99" s="2" t="s">
        <v>18</v>
      </c>
      <c r="CE99" t="s">
        <v>18</v>
      </c>
      <c r="CG99" t="s">
        <v>18</v>
      </c>
      <c r="DA99" s="859" t="s">
        <v>18</v>
      </c>
      <c r="DB99" s="859" t="s">
        <v>18</v>
      </c>
    </row>
    <row r="100" spans="2:106" x14ac:dyDescent="0.15">
      <c r="B100" s="107" t="s">
        <v>270</v>
      </c>
      <c r="C100" s="108">
        <f>+C98-C99</f>
        <v>165614.33200000002</v>
      </c>
      <c r="D100" s="109">
        <f>+(C100*0.3048)</f>
        <v>50479.248393600006</v>
      </c>
      <c r="E100" s="737">
        <f>+D100/D117</f>
        <v>0.63167928398252005</v>
      </c>
      <c r="F100" s="788">
        <v>0.63167928398252005</v>
      </c>
      <c r="G100" s="748" t="s">
        <v>18</v>
      </c>
      <c r="H100" s="7"/>
      <c r="I100" s="7"/>
      <c r="J100" s="7" t="s">
        <v>18</v>
      </c>
      <c r="K100" s="7" t="s">
        <v>18</v>
      </c>
      <c r="L100" s="7"/>
      <c r="M100" s="7"/>
      <c r="N100" s="7"/>
      <c r="O100" s="7"/>
      <c r="P100" s="7" t="s">
        <v>18</v>
      </c>
      <c r="Q100" s="7" t="s">
        <v>18</v>
      </c>
      <c r="R100" s="7" t="s">
        <v>18</v>
      </c>
      <c r="S100" s="7" t="s">
        <v>18</v>
      </c>
      <c r="T100" s="7"/>
      <c r="U100" s="7"/>
      <c r="V100" s="7"/>
      <c r="W100" s="7"/>
      <c r="X100" s="7"/>
      <c r="Y100" s="40"/>
      <c r="Z100" s="7"/>
      <c r="AA100" s="7" t="s">
        <v>18</v>
      </c>
      <c r="AB100" s="7"/>
      <c r="AC100" s="3"/>
      <c r="AM100" s="2" t="s">
        <v>18</v>
      </c>
    </row>
    <row r="101" spans="2:106" x14ac:dyDescent="0.15">
      <c r="B101" s="107" t="s">
        <v>281</v>
      </c>
      <c r="C101" s="111">
        <f>+BT93</f>
        <v>2.3355869698832205E-2</v>
      </c>
      <c r="D101" s="111">
        <f>+BT93</f>
        <v>2.3355869698832205E-2</v>
      </c>
      <c r="E101" s="112"/>
      <c r="F101" s="788"/>
      <c r="G101" s="748"/>
      <c r="H101" s="7"/>
      <c r="I101" s="7" t="s">
        <v>18</v>
      </c>
      <c r="J101" s="7" t="s">
        <v>18</v>
      </c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 t="s">
        <v>18</v>
      </c>
      <c r="V101" s="7"/>
      <c r="W101" s="7"/>
      <c r="X101" s="7"/>
      <c r="Y101" s="40"/>
      <c r="Z101" s="7"/>
      <c r="AA101" s="7"/>
      <c r="AB101" s="7"/>
      <c r="AC101" s="3"/>
      <c r="BH101" t="s">
        <v>18</v>
      </c>
      <c r="CM101" t="s">
        <v>18</v>
      </c>
      <c r="CT101" s="2" t="s">
        <v>18</v>
      </c>
      <c r="DA101" s="859" t="s">
        <v>18</v>
      </c>
    </row>
    <row r="102" spans="2:106" x14ac:dyDescent="0.15">
      <c r="B102" s="107" t="s">
        <v>278</v>
      </c>
      <c r="C102" s="108">
        <f>+C101*C100</f>
        <v>3868.0667584511375</v>
      </c>
      <c r="D102" s="109">
        <f>+(C102*0.3048)</f>
        <v>1178.9867479759068</v>
      </c>
      <c r="E102" s="110">
        <f>+D102/D117</f>
        <v>1.4753419048147367E-2</v>
      </c>
      <c r="F102" s="788"/>
      <c r="G102" s="748" t="s">
        <v>18</v>
      </c>
      <c r="H102" s="7"/>
      <c r="I102" s="7" t="s">
        <v>18</v>
      </c>
      <c r="J102" s="7"/>
      <c r="K102" s="7"/>
      <c r="L102" s="7"/>
      <c r="M102" s="7"/>
      <c r="N102" s="7"/>
      <c r="O102" s="7"/>
      <c r="P102" s="7"/>
      <c r="Q102" s="7"/>
      <c r="R102" s="7" t="s">
        <v>18</v>
      </c>
      <c r="S102" s="7" t="s">
        <v>18</v>
      </c>
      <c r="T102" s="7"/>
      <c r="U102" s="7"/>
      <c r="V102" s="7"/>
      <c r="W102" s="7"/>
      <c r="X102" s="7"/>
      <c r="Y102" s="40"/>
      <c r="Z102" s="7"/>
      <c r="AA102" s="7"/>
      <c r="AB102" s="7"/>
      <c r="AC102" s="3"/>
      <c r="AW102" s="2" t="s">
        <v>18</v>
      </c>
      <c r="CE102" t="s">
        <v>18</v>
      </c>
      <c r="CF102" t="s">
        <v>18</v>
      </c>
      <c r="CQ102" s="583" t="s">
        <v>18</v>
      </c>
      <c r="CR102" s="2" t="s">
        <v>18</v>
      </c>
    </row>
    <row r="103" spans="2:106" x14ac:dyDescent="0.15">
      <c r="B103" s="107" t="s">
        <v>279</v>
      </c>
      <c r="C103" s="113">
        <f>+C99+C102</f>
        <v>4526.4347584511379</v>
      </c>
      <c r="D103" s="113">
        <f>+D99+D102</f>
        <v>1379.6573143759069</v>
      </c>
      <c r="E103" s="110">
        <f>+D103/D117</f>
        <v>1.7264538839621715E-2</v>
      </c>
      <c r="F103" s="788"/>
      <c r="G103" s="748"/>
      <c r="H103" s="7"/>
      <c r="I103" s="7" t="s">
        <v>18</v>
      </c>
      <c r="J103" s="7" t="s">
        <v>18</v>
      </c>
      <c r="K103" s="7"/>
      <c r="L103" s="7" t="s">
        <v>18</v>
      </c>
      <c r="M103" s="7" t="s">
        <v>18</v>
      </c>
      <c r="N103" s="7" t="s">
        <v>18</v>
      </c>
      <c r="O103" s="7"/>
      <c r="P103" s="7"/>
      <c r="Q103" s="7" t="s">
        <v>18</v>
      </c>
      <c r="R103" s="7" t="s">
        <v>18</v>
      </c>
      <c r="S103" s="7"/>
      <c r="T103" s="7"/>
      <c r="U103" s="7" t="s">
        <v>18</v>
      </c>
      <c r="V103" s="7"/>
      <c r="W103" s="7"/>
      <c r="X103" s="7"/>
      <c r="Y103" s="40"/>
      <c r="Z103" s="7"/>
      <c r="AA103" s="7"/>
      <c r="AB103" s="7"/>
      <c r="AC103" s="3"/>
    </row>
    <row r="104" spans="2:106" x14ac:dyDescent="0.15">
      <c r="B104" s="107" t="s">
        <v>272</v>
      </c>
      <c r="C104" s="114">
        <f>1-C101</f>
        <v>0.97664413030116781</v>
      </c>
      <c r="D104" s="114">
        <f>1-D101</f>
        <v>0.97664413030116781</v>
      </c>
      <c r="E104" s="112"/>
      <c r="F104" s="788"/>
      <c r="G104" s="748"/>
      <c r="H104" s="7"/>
      <c r="I104" s="7" t="s">
        <v>18</v>
      </c>
      <c r="J104" s="7"/>
      <c r="K104" s="7"/>
      <c r="L104" s="7"/>
      <c r="M104" s="7"/>
      <c r="N104" s="7"/>
      <c r="O104" s="7"/>
      <c r="P104" s="7"/>
      <c r="Q104" s="7" t="s">
        <v>18</v>
      </c>
      <c r="R104" s="7"/>
      <c r="S104" s="7"/>
      <c r="T104" s="7"/>
      <c r="U104" s="7"/>
      <c r="V104" s="7"/>
      <c r="W104" s="7"/>
      <c r="X104" s="7"/>
      <c r="Y104" s="40"/>
      <c r="Z104" s="7"/>
      <c r="AA104" s="7"/>
      <c r="AB104" s="7"/>
      <c r="AC104" s="3"/>
      <c r="AW104" t="s">
        <v>18</v>
      </c>
      <c r="BT104" s="2" t="s">
        <v>18</v>
      </c>
      <c r="CQ104" s="2" t="s">
        <v>18</v>
      </c>
    </row>
    <row r="105" spans="2:106" x14ac:dyDescent="0.15">
      <c r="B105" s="107" t="s">
        <v>271</v>
      </c>
      <c r="C105" s="109">
        <f>+C100*C104</f>
        <v>161746.26524154888</v>
      </c>
      <c r="D105" s="109">
        <f>+(C105*0.3048)</f>
        <v>49300.261645624101</v>
      </c>
      <c r="E105" s="116">
        <f>+D105/D117</f>
        <v>0.61692586493437274</v>
      </c>
      <c r="F105" s="788"/>
      <c r="G105" s="748" t="s">
        <v>18</v>
      </c>
      <c r="H105" s="7"/>
      <c r="I105" s="7" t="s">
        <v>18</v>
      </c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40"/>
      <c r="Z105" s="7"/>
      <c r="AA105" s="7"/>
      <c r="AB105" s="7"/>
      <c r="AC105" s="3"/>
    </row>
    <row r="106" spans="2:106" x14ac:dyDescent="0.15">
      <c r="B106" s="91" t="s">
        <v>273</v>
      </c>
      <c r="C106" s="109">
        <f>+CG93</f>
        <v>11730</v>
      </c>
      <c r="D106" s="109">
        <f>+(C106*0.3048)</f>
        <v>3575.3040000000001</v>
      </c>
      <c r="E106" s="110">
        <f>+D106/D117</f>
        <v>4.4740077212127749E-2</v>
      </c>
      <c r="F106" s="788"/>
      <c r="G106" s="748"/>
      <c r="H106" s="7"/>
      <c r="I106" s="7" t="s">
        <v>18</v>
      </c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40"/>
      <c r="Z106" s="7"/>
      <c r="AA106" s="7"/>
      <c r="AB106" s="7"/>
      <c r="AC106" s="3"/>
    </row>
    <row r="107" spans="2:106" x14ac:dyDescent="0.15">
      <c r="B107" s="107" t="s">
        <v>282</v>
      </c>
      <c r="C107" s="111">
        <f>+BU93</f>
        <v>1.3521819299323909E-2</v>
      </c>
      <c r="D107" s="111">
        <f>+BU93</f>
        <v>1.3521819299323909E-2</v>
      </c>
      <c r="E107" s="112" t="s">
        <v>18</v>
      </c>
      <c r="F107" s="788"/>
      <c r="G107" s="112" t="s">
        <v>18</v>
      </c>
      <c r="H107" s="7" t="s">
        <v>18</v>
      </c>
      <c r="I107" s="7" t="s">
        <v>18</v>
      </c>
      <c r="J107" s="7" t="s">
        <v>18</v>
      </c>
      <c r="K107" s="7"/>
      <c r="L107" s="7"/>
      <c r="M107" s="7"/>
      <c r="N107" s="7"/>
      <c r="O107" s="7"/>
      <c r="P107" s="7" t="s">
        <v>18</v>
      </c>
      <c r="Q107" s="7"/>
      <c r="R107" s="7"/>
      <c r="S107" s="7"/>
      <c r="T107" s="7"/>
      <c r="U107" s="7"/>
      <c r="V107" s="7"/>
      <c r="W107" s="7"/>
      <c r="X107" s="7"/>
      <c r="Y107" s="40"/>
      <c r="Z107" s="7"/>
      <c r="AA107" s="7"/>
      <c r="AB107" s="7"/>
      <c r="AC107" s="3"/>
      <c r="BM107" t="s">
        <v>18</v>
      </c>
    </row>
    <row r="108" spans="2:106" x14ac:dyDescent="0.15">
      <c r="B108" s="91" t="s">
        <v>280</v>
      </c>
      <c r="C108" s="108">
        <f>+C107*C98</f>
        <v>2248.3094038106947</v>
      </c>
      <c r="D108" s="109">
        <f t="shared" ref="D108:D118" si="14">+(C108*0.3048)</f>
        <v>685.28470628149978</v>
      </c>
      <c r="E108" s="110">
        <f>+D108/D117</f>
        <v>8.5754080411972206E-3</v>
      </c>
      <c r="F108" s="788"/>
      <c r="G108" s="748" t="s">
        <v>18</v>
      </c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40"/>
      <c r="Z108" s="7"/>
      <c r="AA108" s="7"/>
      <c r="AB108" s="7"/>
      <c r="AC108" s="3"/>
    </row>
    <row r="109" spans="2:106" x14ac:dyDescent="0.15">
      <c r="B109" s="107" t="s">
        <v>274</v>
      </c>
      <c r="C109" s="109">
        <f>+C105-C106</f>
        <v>150016.26524154888</v>
      </c>
      <c r="D109" s="109">
        <f t="shared" si="14"/>
        <v>45724.957645624105</v>
      </c>
      <c r="E109" s="110">
        <f>+D109/D117</f>
        <v>0.57218578772224504</v>
      </c>
      <c r="F109" s="788"/>
      <c r="G109" s="748" t="s">
        <v>18</v>
      </c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40"/>
      <c r="Z109" s="7"/>
      <c r="AA109" s="7"/>
      <c r="AB109" s="7"/>
      <c r="AC109" s="3"/>
    </row>
    <row r="110" spans="2:106" x14ac:dyDescent="0.15">
      <c r="B110" s="107" t="s">
        <v>275</v>
      </c>
      <c r="C110" s="109">
        <f>+K93</f>
        <v>49269.794394521763</v>
      </c>
      <c r="D110" s="109">
        <f t="shared" si="14"/>
        <v>15017.433331450235</v>
      </c>
      <c r="E110" s="737">
        <f>+D110/D117</f>
        <v>0.18792279671240944</v>
      </c>
      <c r="F110" s="788">
        <v>0.18792279671240944</v>
      </c>
      <c r="G110" s="748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40"/>
      <c r="Z110" s="7"/>
      <c r="AA110" s="7"/>
      <c r="AB110" s="7"/>
      <c r="AC110" s="3"/>
    </row>
    <row r="111" spans="2:106" x14ac:dyDescent="0.15">
      <c r="B111" s="107" t="s">
        <v>276</v>
      </c>
      <c r="C111" s="109">
        <f>+C106+C110</f>
        <v>60999.794394521763</v>
      </c>
      <c r="D111" s="109">
        <f t="shared" si="14"/>
        <v>18592.737331450233</v>
      </c>
      <c r="E111" s="110">
        <f>+D111/D117</f>
        <v>0.23266287392453716</v>
      </c>
      <c r="F111" s="788" t="s">
        <v>18</v>
      </c>
      <c r="G111" s="748"/>
      <c r="H111" s="7"/>
      <c r="I111" s="7" t="s">
        <v>313</v>
      </c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40"/>
      <c r="Z111" s="7"/>
      <c r="AA111" s="7"/>
      <c r="AB111" s="7"/>
      <c r="AC111" s="3"/>
    </row>
    <row r="112" spans="2:106" x14ac:dyDescent="0.15">
      <c r="B112" s="107" t="s">
        <v>283</v>
      </c>
      <c r="C112" s="84">
        <f>+AW93</f>
        <v>0</v>
      </c>
      <c r="D112" s="109">
        <f t="shared" si="14"/>
        <v>0</v>
      </c>
      <c r="E112" s="110">
        <f>+D112/D117</f>
        <v>0</v>
      </c>
      <c r="F112" s="788" t="s">
        <v>18</v>
      </c>
      <c r="G112" s="748"/>
      <c r="H112" s="7"/>
      <c r="I112" s="7" t="s">
        <v>18</v>
      </c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40"/>
      <c r="Z112" s="7"/>
      <c r="AA112" s="7"/>
      <c r="AB112" s="7"/>
      <c r="AC112" s="3"/>
      <c r="AD112" t="s">
        <v>18</v>
      </c>
    </row>
    <row r="113" spans="1:123" x14ac:dyDescent="0.15">
      <c r="B113" s="107" t="s">
        <v>277</v>
      </c>
      <c r="C113" s="84">
        <f>+C108+C112</f>
        <v>2248.3094038106947</v>
      </c>
      <c r="D113" s="109">
        <f t="shared" si="14"/>
        <v>685.28470628149978</v>
      </c>
      <c r="E113" s="110">
        <f>+D113/D117</f>
        <v>8.5754080411972206E-3</v>
      </c>
      <c r="F113" s="788"/>
      <c r="G113" s="748"/>
      <c r="H113" s="7"/>
      <c r="I113" s="7" t="s">
        <v>18</v>
      </c>
      <c r="J113" s="7" t="s">
        <v>18</v>
      </c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40"/>
      <c r="Z113" s="7"/>
      <c r="AA113" s="7"/>
      <c r="AB113" s="7"/>
      <c r="AC113" s="3"/>
    </row>
    <row r="114" spans="1:123" x14ac:dyDescent="0.15">
      <c r="B114" s="107" t="s">
        <v>284</v>
      </c>
      <c r="C114" s="108">
        <f>++C110+C112</f>
        <v>49269.794394521763</v>
      </c>
      <c r="D114" s="109">
        <f t="shared" si="14"/>
        <v>15017.433331450235</v>
      </c>
      <c r="E114" s="110">
        <f>+D114/D117</f>
        <v>0.18792279671240944</v>
      </c>
      <c r="F114" s="788" t="s">
        <v>18</v>
      </c>
      <c r="G114" s="748" t="s">
        <v>18</v>
      </c>
      <c r="H114" s="7" t="s">
        <v>18</v>
      </c>
      <c r="I114" s="7" t="s">
        <v>18</v>
      </c>
      <c r="J114" s="7" t="s">
        <v>18</v>
      </c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40"/>
      <c r="Z114" s="7"/>
      <c r="AA114" s="7"/>
      <c r="AB114" s="7"/>
      <c r="AC114" s="3"/>
    </row>
    <row r="115" spans="1:123" x14ac:dyDescent="0.15">
      <c r="A115" s="2" t="s">
        <v>18</v>
      </c>
      <c r="B115" s="107" t="s">
        <v>285</v>
      </c>
      <c r="C115" s="108">
        <f>++C111+C113</f>
        <v>63248.103798332457</v>
      </c>
      <c r="D115" s="109">
        <f t="shared" si="14"/>
        <v>19278.022037731735</v>
      </c>
      <c r="E115" s="110">
        <f>+D115/D117</f>
        <v>0.24123828196573441</v>
      </c>
      <c r="F115" s="788"/>
      <c r="G115" s="748"/>
      <c r="H115" s="7"/>
      <c r="I115" s="7" t="s">
        <v>18</v>
      </c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40"/>
      <c r="Z115" s="7"/>
      <c r="AA115" s="7"/>
      <c r="AB115" s="7"/>
      <c r="AC115" s="3"/>
    </row>
    <row r="116" spans="1:123" x14ac:dyDescent="0.15">
      <c r="B116" s="107" t="s">
        <v>296</v>
      </c>
      <c r="C116" s="117">
        <f>+BM93</f>
        <v>4154.9868116785492</v>
      </c>
      <c r="D116" s="109">
        <f t="shared" si="14"/>
        <v>1266.4399801996219</v>
      </c>
      <c r="E116" s="737">
        <f>+D116/D117</f>
        <v>1.5847777559238774E-2</v>
      </c>
      <c r="F116" s="788">
        <v>1.5847777559238774E-2</v>
      </c>
      <c r="G116" s="748" t="s">
        <v>18</v>
      </c>
      <c r="H116" s="1"/>
      <c r="I116" s="1"/>
      <c r="J116" s="1"/>
      <c r="K116" s="1"/>
      <c r="L116" s="1"/>
      <c r="N116" t="s">
        <v>18</v>
      </c>
      <c r="Q116" t="s">
        <v>18</v>
      </c>
      <c r="T116" t="s">
        <v>18</v>
      </c>
      <c r="AC116" s="3"/>
    </row>
    <row r="117" spans="1:123" x14ac:dyDescent="0.15">
      <c r="B117" s="107" t="s">
        <v>287</v>
      </c>
      <c r="C117" s="108">
        <f>+U93</f>
        <v>262181.04060000001</v>
      </c>
      <c r="D117" s="109">
        <f t="shared" si="14"/>
        <v>79912.781174880001</v>
      </c>
      <c r="E117" s="112"/>
      <c r="F117" s="790"/>
      <c r="G117" s="749" t="s">
        <v>18</v>
      </c>
      <c r="H117" s="234" t="s">
        <v>18</v>
      </c>
      <c r="I117" s="9" t="s">
        <v>18</v>
      </c>
      <c r="J117" s="234" t="s">
        <v>18</v>
      </c>
      <c r="N117" t="s">
        <v>18</v>
      </c>
      <c r="Q117" t="s">
        <v>18</v>
      </c>
      <c r="S117" t="s">
        <v>18</v>
      </c>
      <c r="T117" t="s">
        <v>18</v>
      </c>
      <c r="AC117" s="3"/>
      <c r="AO117" t="s">
        <v>18</v>
      </c>
      <c r="AQ117" t="s">
        <v>18</v>
      </c>
      <c r="AZ117" s="3"/>
      <c r="BE117" s="2" t="s">
        <v>18</v>
      </c>
      <c r="CV117" s="2" t="s">
        <v>18</v>
      </c>
      <c r="CX117" s="2" t="s">
        <v>18</v>
      </c>
    </row>
    <row r="118" spans="1:123" x14ac:dyDescent="0.15">
      <c r="B118" s="107" t="s">
        <v>300</v>
      </c>
      <c r="C118" s="60">
        <f>+C117-C98-C116-C110</f>
        <v>42483.559393799682</v>
      </c>
      <c r="D118" s="109">
        <f t="shared" si="14"/>
        <v>12948.988903230143</v>
      </c>
      <c r="E118" s="737">
        <f>+D118/D117</f>
        <v>0.16203902195435746</v>
      </c>
      <c r="F118" s="788">
        <v>0.16203902195435746</v>
      </c>
      <c r="G118" s="749" t="s">
        <v>18</v>
      </c>
      <c r="H118" s="9"/>
      <c r="I118" s="9"/>
      <c r="J118" s="9"/>
      <c r="N118" t="s">
        <v>18</v>
      </c>
      <c r="Q118" t="s">
        <v>18</v>
      </c>
      <c r="S118" t="s">
        <v>18</v>
      </c>
      <c r="Y118" s="2" t="s">
        <v>18</v>
      </c>
      <c r="Z118" s="2" t="s">
        <v>18</v>
      </c>
      <c r="AC118" s="3"/>
      <c r="AH118" s="2" t="s">
        <v>18</v>
      </c>
      <c r="AI118" s="2" t="s">
        <v>18</v>
      </c>
      <c r="AZ118" s="3"/>
      <c r="CV118" s="2" t="s">
        <v>18</v>
      </c>
      <c r="CW118" s="2" t="s">
        <v>18</v>
      </c>
    </row>
    <row r="119" spans="1:123" ht="14" thickBot="1" x14ac:dyDescent="0.2">
      <c r="B119" s="89" t="s">
        <v>49</v>
      </c>
      <c r="C119" s="118">
        <f>+BV93</f>
        <v>65320.502508905178</v>
      </c>
      <c r="D119" s="119">
        <f>+BW93</f>
        <v>19909.689164714298</v>
      </c>
      <c r="E119" s="120">
        <f>+D119/D117</f>
        <v>0.24914273877096352</v>
      </c>
      <c r="F119" s="80"/>
      <c r="G119" s="710" t="s">
        <v>18</v>
      </c>
      <c r="H119" s="9"/>
      <c r="I119" s="9"/>
      <c r="J119" s="9"/>
      <c r="AC119" s="3"/>
      <c r="AZ119" s="3"/>
    </row>
    <row r="120" spans="1:123" ht="14" thickBot="1" x14ac:dyDescent="0.2">
      <c r="B120" s="48" t="s">
        <v>587</v>
      </c>
      <c r="C120" s="714">
        <f>+CO93/BK93</f>
        <v>0.64317925591882763</v>
      </c>
      <c r="D120" s="714">
        <f>+CP93/BL93</f>
        <v>0.64317925591882752</v>
      </c>
      <c r="E120" s="745" t="s">
        <v>18</v>
      </c>
      <c r="F120" s="82"/>
      <c r="G120" s="708" t="s">
        <v>18</v>
      </c>
      <c r="H120" s="9"/>
      <c r="I120" s="9"/>
      <c r="J120" s="9" t="s">
        <v>18</v>
      </c>
      <c r="O120" t="s">
        <v>18</v>
      </c>
      <c r="AC120" s="3"/>
      <c r="BW120" s="2" t="s">
        <v>18</v>
      </c>
      <c r="CV120" s="2" t="s">
        <v>18</v>
      </c>
      <c r="CW120" s="2"/>
      <c r="CX120" s="2"/>
    </row>
    <row r="121" spans="1:123" ht="14" thickBot="1" x14ac:dyDescent="0.2">
      <c r="B121" s="42" t="s">
        <v>715</v>
      </c>
      <c r="C121" s="44" t="s">
        <v>18</v>
      </c>
      <c r="D121" s="295"/>
      <c r="E121" s="295" t="s">
        <v>18</v>
      </c>
      <c r="F121" s="700">
        <f>SUM(F98:F119)</f>
        <v>1</v>
      </c>
      <c r="G121" s="746" t="s">
        <v>18</v>
      </c>
      <c r="H121" s="9" t="s">
        <v>18</v>
      </c>
      <c r="I121" s="9" t="s">
        <v>18</v>
      </c>
      <c r="J121" s="9"/>
      <c r="N121" t="s">
        <v>18</v>
      </c>
      <c r="S121" t="s">
        <v>18</v>
      </c>
      <c r="V121" s="2" t="s">
        <v>18</v>
      </c>
      <c r="W121" s="2" t="s">
        <v>18</v>
      </c>
      <c r="AC121" s="3"/>
      <c r="BO121" t="s">
        <v>18</v>
      </c>
    </row>
    <row r="122" spans="1:123" x14ac:dyDescent="0.15">
      <c r="B122" s="264" t="s">
        <v>705</v>
      </c>
      <c r="C122" s="717" t="s">
        <v>294</v>
      </c>
      <c r="D122" s="78"/>
      <c r="E122" s="131" t="s">
        <v>799</v>
      </c>
      <c r="F122" s="718"/>
      <c r="G122" s="744"/>
      <c r="H122" s="9"/>
      <c r="I122" s="2" t="s">
        <v>18</v>
      </c>
      <c r="AA122" s="2" t="s">
        <v>18</v>
      </c>
      <c r="AC122" s="3"/>
      <c r="AQ122" s="2" t="s">
        <v>18</v>
      </c>
    </row>
    <row r="123" spans="1:123" ht="14" thickBot="1" x14ac:dyDescent="0.2">
      <c r="B123" s="82"/>
      <c r="C123" s="720" t="s">
        <v>295</v>
      </c>
      <c r="D123" s="34"/>
      <c r="E123" s="34"/>
      <c r="F123" s="313"/>
      <c r="G123" s="35"/>
      <c r="H123" s="8"/>
      <c r="I123" t="s">
        <v>18</v>
      </c>
      <c r="AH123" s="2" t="s">
        <v>18</v>
      </c>
      <c r="AQ123" s="2" t="s">
        <v>18</v>
      </c>
    </row>
    <row r="124" spans="1:123" x14ac:dyDescent="0.15">
      <c r="F124" s="2"/>
      <c r="H124" s="8"/>
      <c r="AA124" s="2" t="s">
        <v>18</v>
      </c>
      <c r="AQ124" s="2" t="s">
        <v>18</v>
      </c>
      <c r="CB124" s="2" t="s">
        <v>18</v>
      </c>
      <c r="DH124" s="2" t="s">
        <v>18</v>
      </c>
      <c r="DI124" s="2"/>
      <c r="DJ124" s="2"/>
    </row>
    <row r="125" spans="1:123" x14ac:dyDescent="0.15">
      <c r="F125" s="2"/>
      <c r="H125" s="8" t="s">
        <v>18</v>
      </c>
      <c r="J125" s="2" t="s">
        <v>18</v>
      </c>
      <c r="K125" s="2" t="s">
        <v>18</v>
      </c>
      <c r="AB125" s="2" t="s">
        <v>18</v>
      </c>
    </row>
    <row r="126" spans="1:123" x14ac:dyDescent="0.15">
      <c r="F126" s="274"/>
      <c r="H126" s="40" t="s">
        <v>18</v>
      </c>
      <c r="L126" s="2" t="s">
        <v>18</v>
      </c>
      <c r="AP126" s="2" t="s">
        <v>18</v>
      </c>
      <c r="CU126" s="2" t="s">
        <v>18</v>
      </c>
      <c r="DE126" s="2" t="s">
        <v>18</v>
      </c>
    </row>
    <row r="127" spans="1:123" ht="14" thickBot="1" x14ac:dyDescent="0.2">
      <c r="B127" s="2" t="s">
        <v>18</v>
      </c>
      <c r="C127" s="2" t="s">
        <v>18</v>
      </c>
      <c r="DF127" s="2" t="s">
        <v>18</v>
      </c>
    </row>
    <row r="128" spans="1:123" ht="14" thickBot="1" x14ac:dyDescent="0.2">
      <c r="A128" s="372"/>
      <c r="B128" s="728"/>
      <c r="C128" s="525"/>
      <c r="D128" s="729"/>
      <c r="E128" s="729"/>
      <c r="F128" s="730"/>
      <c r="G128" s="730"/>
      <c r="H128" s="730"/>
      <c r="I128" s="730"/>
      <c r="J128" s="730"/>
      <c r="K128" s="525"/>
      <c r="L128" s="525"/>
      <c r="M128" s="525"/>
      <c r="N128" s="525"/>
      <c r="O128" s="525"/>
      <c r="P128" s="525"/>
      <c r="Q128" s="525"/>
      <c r="R128" s="525"/>
      <c r="S128" s="525"/>
      <c r="T128" s="525"/>
      <c r="U128" s="525"/>
      <c r="V128" s="525"/>
      <c r="W128" s="525"/>
      <c r="X128" s="525"/>
      <c r="Y128" s="525"/>
      <c r="Z128" s="525"/>
      <c r="AA128" s="525"/>
      <c r="AB128" s="525"/>
      <c r="AC128" s="729"/>
      <c r="AD128" s="525"/>
      <c r="AE128" s="525"/>
      <c r="AF128" s="525"/>
      <c r="AG128" s="525"/>
      <c r="AH128" s="525"/>
      <c r="AI128" s="525"/>
      <c r="AJ128" s="525"/>
      <c r="AK128" s="525"/>
      <c r="AL128" s="525"/>
      <c r="AM128" s="525"/>
      <c r="AN128" s="525"/>
      <c r="AO128" s="525"/>
      <c r="AP128" s="525"/>
      <c r="AQ128" s="525"/>
      <c r="AR128" s="525"/>
      <c r="AS128" s="525"/>
      <c r="AT128" s="525"/>
      <c r="AU128" s="525"/>
      <c r="AV128" s="525"/>
      <c r="AW128" s="525"/>
      <c r="AX128" s="525"/>
      <c r="AY128" s="525"/>
      <c r="AZ128" s="525"/>
      <c r="BA128" s="525"/>
      <c r="BB128" s="525"/>
      <c r="BC128" s="525"/>
      <c r="BD128" s="525"/>
      <c r="BE128" s="525"/>
      <c r="BF128" s="525"/>
      <c r="BG128" s="525"/>
      <c r="BH128" s="525"/>
      <c r="BI128" s="525"/>
      <c r="BJ128" s="525"/>
      <c r="BK128" s="525"/>
      <c r="BL128" s="525"/>
      <c r="BM128" s="525"/>
      <c r="BN128" s="525"/>
      <c r="BO128" s="525"/>
      <c r="BP128" s="525"/>
      <c r="BQ128" s="525"/>
      <c r="BR128" s="525"/>
      <c r="BS128" s="525"/>
      <c r="BT128" s="525"/>
      <c r="BU128" s="525"/>
      <c r="BV128" s="525"/>
      <c r="BW128" s="525"/>
      <c r="BX128" s="525"/>
      <c r="BY128" s="525"/>
      <c r="BZ128" s="525"/>
      <c r="CA128" s="525"/>
      <c r="CB128" s="525"/>
      <c r="CC128" s="525"/>
      <c r="CD128" s="525"/>
      <c r="CE128" s="525"/>
      <c r="CF128" s="525"/>
      <c r="CG128" s="525"/>
      <c r="CH128" s="525"/>
      <c r="CI128" s="525"/>
      <c r="CJ128" s="525"/>
      <c r="CK128" s="525"/>
      <c r="CL128" s="525"/>
      <c r="CM128" s="525"/>
      <c r="CN128" s="525"/>
      <c r="CO128" s="525"/>
      <c r="CP128" s="525"/>
      <c r="CQ128" s="525"/>
      <c r="CR128" s="525"/>
      <c r="CS128" s="525"/>
      <c r="CT128" s="525"/>
      <c r="CU128" s="525"/>
      <c r="CV128" s="525"/>
      <c r="CW128" s="525"/>
      <c r="CX128" s="525"/>
      <c r="CY128" s="525"/>
      <c r="CZ128" s="525"/>
      <c r="DA128" s="525"/>
      <c r="DB128" s="525"/>
      <c r="DC128" s="525"/>
      <c r="DD128" s="525"/>
      <c r="DE128" s="372"/>
      <c r="DF128" s="257"/>
      <c r="DG128" s="373"/>
      <c r="DH128" s="933"/>
      <c r="DI128" s="933"/>
      <c r="DJ128" s="933"/>
      <c r="DK128" s="937"/>
      <c r="DL128" s="937"/>
      <c r="DM128" s="937"/>
      <c r="DN128" s="937"/>
      <c r="DO128" s="937"/>
      <c r="DP128" s="937"/>
      <c r="DQ128" s="937"/>
      <c r="DR128" s="937"/>
      <c r="DS128" s="937"/>
    </row>
    <row r="129" spans="1:123" x14ac:dyDescent="0.15">
      <c r="A129" s="48" t="s">
        <v>0</v>
      </c>
      <c r="B129" s="48" t="s">
        <v>42</v>
      </c>
      <c r="C129" s="32" t="s">
        <v>46</v>
      </c>
      <c r="D129" s="32" t="s">
        <v>48</v>
      </c>
      <c r="E129" s="32" t="s">
        <v>47</v>
      </c>
      <c r="F129" s="32" t="s">
        <v>48</v>
      </c>
      <c r="G129" s="32" t="s">
        <v>251</v>
      </c>
      <c r="H129" s="32" t="s">
        <v>252</v>
      </c>
      <c r="I129" s="32" t="s">
        <v>251</v>
      </c>
      <c r="J129" s="32" t="s">
        <v>252</v>
      </c>
      <c r="K129" s="32" t="s">
        <v>125</v>
      </c>
      <c r="L129" s="32" t="s">
        <v>125</v>
      </c>
      <c r="M129" s="32" t="s">
        <v>62</v>
      </c>
      <c r="N129" s="32" t="s">
        <v>62</v>
      </c>
      <c r="O129" s="32" t="s">
        <v>127</v>
      </c>
      <c r="P129" s="32" t="s">
        <v>127</v>
      </c>
      <c r="Q129" s="32" t="s">
        <v>44</v>
      </c>
      <c r="R129" s="32" t="s">
        <v>44</v>
      </c>
      <c r="S129" s="32" t="s">
        <v>45</v>
      </c>
      <c r="T129" s="32" t="s">
        <v>45</v>
      </c>
      <c r="U129" s="32" t="s">
        <v>333</v>
      </c>
      <c r="V129" s="32" t="s">
        <v>333</v>
      </c>
      <c r="W129" s="32" t="s">
        <v>44</v>
      </c>
      <c r="X129" s="32" t="s">
        <v>44</v>
      </c>
      <c r="Y129" s="32" t="s">
        <v>267</v>
      </c>
      <c r="Z129" s="32" t="s">
        <v>267</v>
      </c>
      <c r="AA129" s="32" t="s">
        <v>126</v>
      </c>
      <c r="AB129" s="32" t="s">
        <v>126</v>
      </c>
      <c r="AC129" s="32" t="s">
        <v>10</v>
      </c>
      <c r="AD129" s="32" t="s">
        <v>10</v>
      </c>
      <c r="AE129" s="32" t="s">
        <v>817</v>
      </c>
      <c r="AF129" s="32" t="s">
        <v>817</v>
      </c>
      <c r="AG129" s="32" t="s">
        <v>69</v>
      </c>
      <c r="AH129" s="32" t="s">
        <v>69</v>
      </c>
      <c r="AI129" s="32" t="s">
        <v>87</v>
      </c>
      <c r="AJ129" s="32" t="s">
        <v>87</v>
      </c>
      <c r="AK129" s="32" t="s">
        <v>87</v>
      </c>
      <c r="AL129" s="32" t="s">
        <v>87</v>
      </c>
      <c r="AM129" s="32" t="s">
        <v>557</v>
      </c>
      <c r="AN129" s="32" t="s">
        <v>557</v>
      </c>
      <c r="AO129" s="32" t="s">
        <v>557</v>
      </c>
      <c r="AP129" s="32" t="s">
        <v>557</v>
      </c>
      <c r="AQ129" s="32" t="s">
        <v>557</v>
      </c>
      <c r="AR129" s="32" t="s">
        <v>93</v>
      </c>
      <c r="AS129" s="32" t="s">
        <v>293</v>
      </c>
      <c r="AT129" s="32" t="s">
        <v>293</v>
      </c>
      <c r="AU129" s="32" t="s">
        <v>293</v>
      </c>
      <c r="AV129" s="32" t="s">
        <v>293</v>
      </c>
      <c r="AW129" s="32" t="s">
        <v>293</v>
      </c>
      <c r="AX129" s="32" t="s">
        <v>293</v>
      </c>
      <c r="AY129" s="32" t="s">
        <v>323</v>
      </c>
      <c r="AZ129" s="32" t="s">
        <v>323</v>
      </c>
      <c r="BA129" s="32" t="s">
        <v>323</v>
      </c>
      <c r="BB129" s="32" t="s">
        <v>323</v>
      </c>
      <c r="BC129" s="32" t="s">
        <v>323</v>
      </c>
      <c r="BD129" s="32" t="s">
        <v>323</v>
      </c>
      <c r="BE129" s="484" t="s">
        <v>324</v>
      </c>
      <c r="BF129" s="484" t="s">
        <v>324</v>
      </c>
      <c r="BG129" s="263"/>
      <c r="BH129" s="263"/>
      <c r="BI129" s="32" t="s">
        <v>18</v>
      </c>
      <c r="BJ129" s="263"/>
      <c r="BK129" s="32" t="s">
        <v>84</v>
      </c>
      <c r="BL129" s="32" t="s">
        <v>84</v>
      </c>
      <c r="BM129" s="32" t="s">
        <v>84</v>
      </c>
      <c r="BN129" s="32" t="s">
        <v>84</v>
      </c>
      <c r="BO129" s="32" t="s">
        <v>10</v>
      </c>
      <c r="BP129" s="32" t="s">
        <v>817</v>
      </c>
      <c r="BQ129" s="32" t="s">
        <v>69</v>
      </c>
      <c r="BR129" s="32" t="s">
        <v>62</v>
      </c>
      <c r="BS129" s="32" t="s">
        <v>93</v>
      </c>
      <c r="BT129" s="484" t="s">
        <v>291</v>
      </c>
      <c r="BU129" s="484" t="s">
        <v>292</v>
      </c>
      <c r="BV129" s="484" t="s">
        <v>2</v>
      </c>
      <c r="BW129" s="484" t="s">
        <v>2</v>
      </c>
      <c r="BX129" s="32" t="s">
        <v>396</v>
      </c>
      <c r="BY129" s="32" t="s">
        <v>261</v>
      </c>
      <c r="BZ129" s="32" t="s">
        <v>261</v>
      </c>
      <c r="CA129" s="32" t="s">
        <v>266</v>
      </c>
      <c r="CB129" s="32" t="s">
        <v>261</v>
      </c>
      <c r="CC129" s="32" t="s">
        <v>254</v>
      </c>
      <c r="CD129" s="32" t="s">
        <v>254</v>
      </c>
      <c r="CE129" s="32" t="s">
        <v>254</v>
      </c>
      <c r="CF129" s="32" t="s">
        <v>254</v>
      </c>
      <c r="CG129" s="32" t="s">
        <v>254</v>
      </c>
      <c r="CH129" s="32" t="s">
        <v>254</v>
      </c>
      <c r="CI129" s="32" t="s">
        <v>342</v>
      </c>
      <c r="CJ129" s="32" t="s">
        <v>342</v>
      </c>
      <c r="CK129" s="32" t="s">
        <v>342</v>
      </c>
      <c r="CL129" s="32" t="s">
        <v>342</v>
      </c>
      <c r="CM129" s="32" t="s">
        <v>342</v>
      </c>
      <c r="CN129" s="32" t="s">
        <v>342</v>
      </c>
      <c r="CO129" s="484" t="s">
        <v>344</v>
      </c>
      <c r="CP129" s="484" t="s">
        <v>344</v>
      </c>
      <c r="CQ129" s="484" t="s">
        <v>344</v>
      </c>
      <c r="CR129" s="484" t="s">
        <v>344</v>
      </c>
      <c r="CS129" s="484" t="s">
        <v>344</v>
      </c>
      <c r="CT129" s="484" t="s">
        <v>344</v>
      </c>
      <c r="CU129" s="484" t="s">
        <v>348</v>
      </c>
      <c r="CV129" s="484" t="s">
        <v>348</v>
      </c>
      <c r="CW129" s="484" t="s">
        <v>348</v>
      </c>
      <c r="CX129" s="484" t="s">
        <v>348</v>
      </c>
      <c r="CY129" s="484" t="s">
        <v>556</v>
      </c>
      <c r="CZ129" s="484" t="s">
        <v>556</v>
      </c>
      <c r="DA129" s="484" t="s">
        <v>556</v>
      </c>
      <c r="DB129" s="484" t="s">
        <v>556</v>
      </c>
      <c r="DC129" s="484" t="s">
        <v>583</v>
      </c>
      <c r="DD129" s="484" t="s">
        <v>583</v>
      </c>
      <c r="DE129" s="264" t="s">
        <v>229</v>
      </c>
      <c r="DF129" s="484" t="s">
        <v>758</v>
      </c>
      <c r="DG129" s="485" t="s">
        <v>758</v>
      </c>
      <c r="DH129" s="48" t="s">
        <v>921</v>
      </c>
      <c r="DI129" s="48" t="s">
        <v>936</v>
      </c>
      <c r="DJ129" s="935" t="s">
        <v>938</v>
      </c>
      <c r="DK129" s="939" t="s">
        <v>922</v>
      </c>
      <c r="DL129" s="48" t="s">
        <v>936</v>
      </c>
      <c r="DM129" s="935" t="s">
        <v>938</v>
      </c>
      <c r="DN129" s="46" t="s">
        <v>925</v>
      </c>
      <c r="DO129" s="147" t="s">
        <v>938</v>
      </c>
      <c r="DP129" s="147" t="s">
        <v>938</v>
      </c>
      <c r="DQ129" s="147" t="s">
        <v>888</v>
      </c>
      <c r="DR129" s="147" t="s">
        <v>938</v>
      </c>
      <c r="DS129" s="147" t="s">
        <v>938</v>
      </c>
    </row>
    <row r="130" spans="1:123" ht="14" thickBot="1" x14ac:dyDescent="0.2">
      <c r="A130" s="752" t="s">
        <v>639</v>
      </c>
      <c r="B130" s="91"/>
      <c r="C130" s="13" t="s">
        <v>39</v>
      </c>
      <c r="D130" s="13" t="s">
        <v>39</v>
      </c>
      <c r="E130" s="13" t="s">
        <v>43</v>
      </c>
      <c r="F130" s="13" t="s">
        <v>43</v>
      </c>
      <c r="G130" s="13" t="s">
        <v>39</v>
      </c>
      <c r="H130" s="13" t="s">
        <v>39</v>
      </c>
      <c r="I130" s="13" t="s">
        <v>43</v>
      </c>
      <c r="J130" s="13" t="s">
        <v>43</v>
      </c>
      <c r="K130" s="13" t="s">
        <v>95</v>
      </c>
      <c r="L130" s="13" t="s">
        <v>96</v>
      </c>
      <c r="M130" s="13" t="s">
        <v>88</v>
      </c>
      <c r="N130" s="13" t="s">
        <v>89</v>
      </c>
      <c r="O130" s="13" t="s">
        <v>334</v>
      </c>
      <c r="P130" s="13" t="s">
        <v>335</v>
      </c>
      <c r="Q130" s="13" t="s">
        <v>63</v>
      </c>
      <c r="R130" s="13" t="s">
        <v>66</v>
      </c>
      <c r="S130" s="13" t="s">
        <v>64</v>
      </c>
      <c r="T130" s="13" t="s">
        <v>65</v>
      </c>
      <c r="U130" s="13" t="s">
        <v>64</v>
      </c>
      <c r="V130" s="13" t="s">
        <v>65</v>
      </c>
      <c r="W130" s="13" t="s">
        <v>98</v>
      </c>
      <c r="X130" s="13" t="s">
        <v>99</v>
      </c>
      <c r="Y130" s="13" t="s">
        <v>128</v>
      </c>
      <c r="Z130" s="13" t="s">
        <v>129</v>
      </c>
      <c r="AA130" s="13" t="s">
        <v>95</v>
      </c>
      <c r="AB130" s="13" t="s">
        <v>96</v>
      </c>
      <c r="AC130" s="13" t="s">
        <v>83</v>
      </c>
      <c r="AD130" s="13" t="s">
        <v>82</v>
      </c>
      <c r="AE130" s="33" t="s">
        <v>83</v>
      </c>
      <c r="AF130" s="33" t="s">
        <v>82</v>
      </c>
      <c r="AG130" s="13" t="s">
        <v>70</v>
      </c>
      <c r="AH130" s="13" t="s">
        <v>71</v>
      </c>
      <c r="AI130" s="13" t="s">
        <v>90</v>
      </c>
      <c r="AJ130" s="13" t="s">
        <v>91</v>
      </c>
      <c r="AK130" s="13" t="s">
        <v>95</v>
      </c>
      <c r="AL130" s="13" t="s">
        <v>96</v>
      </c>
      <c r="AM130" s="13" t="s">
        <v>564</v>
      </c>
      <c r="AN130" s="13" t="s">
        <v>565</v>
      </c>
      <c r="AO130" s="13" t="s">
        <v>338</v>
      </c>
      <c r="AP130" s="13" t="s">
        <v>339</v>
      </c>
      <c r="AQ130" s="13" t="s">
        <v>340</v>
      </c>
      <c r="AR130" s="13" t="s">
        <v>341</v>
      </c>
      <c r="AS130" s="13" t="s">
        <v>88</v>
      </c>
      <c r="AT130" s="13" t="s">
        <v>89</v>
      </c>
      <c r="AU130" s="13" t="s">
        <v>90</v>
      </c>
      <c r="AV130" s="13" t="s">
        <v>91</v>
      </c>
      <c r="AW130" s="13" t="s">
        <v>95</v>
      </c>
      <c r="AX130" s="13" t="s">
        <v>96</v>
      </c>
      <c r="AY130" s="13" t="s">
        <v>88</v>
      </c>
      <c r="AZ130" s="13" t="s">
        <v>89</v>
      </c>
      <c r="BA130" s="13" t="s">
        <v>90</v>
      </c>
      <c r="BB130" s="13" t="s">
        <v>91</v>
      </c>
      <c r="BC130" s="13" t="s">
        <v>95</v>
      </c>
      <c r="BD130" s="13" t="s">
        <v>96</v>
      </c>
      <c r="BE130" s="62" t="s">
        <v>325</v>
      </c>
      <c r="BF130" s="62" t="s">
        <v>326</v>
      </c>
      <c r="BG130" s="13" t="s">
        <v>75</v>
      </c>
      <c r="BH130" s="13" t="s">
        <v>72</v>
      </c>
      <c r="BI130" s="13" t="s">
        <v>73</v>
      </c>
      <c r="BJ130" s="13" t="s">
        <v>74</v>
      </c>
      <c r="BK130" s="13" t="s">
        <v>73</v>
      </c>
      <c r="BL130" s="13" t="s">
        <v>85</v>
      </c>
      <c r="BM130" s="13" t="s">
        <v>288</v>
      </c>
      <c r="BN130" s="13" t="s">
        <v>289</v>
      </c>
      <c r="BO130" s="13" t="s">
        <v>86</v>
      </c>
      <c r="BP130" s="13" t="s">
        <v>86</v>
      </c>
      <c r="BQ130" s="13" t="s">
        <v>92</v>
      </c>
      <c r="BR130" s="13" t="s">
        <v>94</v>
      </c>
      <c r="BS130" s="13" t="s">
        <v>94</v>
      </c>
      <c r="BT130" s="62" t="s">
        <v>290</v>
      </c>
      <c r="BU130" s="62" t="s">
        <v>290</v>
      </c>
      <c r="BV130" s="62" t="s">
        <v>298</v>
      </c>
      <c r="BW130" s="62" t="s">
        <v>299</v>
      </c>
      <c r="BX130" s="13" t="s">
        <v>395</v>
      </c>
      <c r="BY130" s="13" t="s">
        <v>256</v>
      </c>
      <c r="BZ130" s="13" t="s">
        <v>257</v>
      </c>
      <c r="CA130" s="13" t="s">
        <v>258</v>
      </c>
      <c r="CB130" s="13" t="s">
        <v>259</v>
      </c>
      <c r="CC130" s="13" t="s">
        <v>260</v>
      </c>
      <c r="CD130" s="13" t="s">
        <v>327</v>
      </c>
      <c r="CE130" s="13" t="s">
        <v>264</v>
      </c>
      <c r="CF130" s="13" t="s">
        <v>265</v>
      </c>
      <c r="CG130" s="13" t="s">
        <v>262</v>
      </c>
      <c r="CH130" s="13" t="s">
        <v>263</v>
      </c>
      <c r="CI130" s="13" t="s">
        <v>88</v>
      </c>
      <c r="CJ130" s="13" t="s">
        <v>343</v>
      </c>
      <c r="CK130" s="13" t="s">
        <v>90</v>
      </c>
      <c r="CL130" s="13" t="s">
        <v>91</v>
      </c>
      <c r="CM130" s="13" t="s">
        <v>95</v>
      </c>
      <c r="CN130" s="13" t="s">
        <v>96</v>
      </c>
      <c r="CO130" s="62" t="s">
        <v>88</v>
      </c>
      <c r="CP130" s="62" t="s">
        <v>89</v>
      </c>
      <c r="CQ130" s="62" t="s">
        <v>90</v>
      </c>
      <c r="CR130" s="62" t="s">
        <v>346</v>
      </c>
      <c r="CS130" s="62" t="s">
        <v>347</v>
      </c>
      <c r="CT130" s="62" t="s">
        <v>345</v>
      </c>
      <c r="CU130" s="62" t="s">
        <v>349</v>
      </c>
      <c r="CV130" s="62" t="s">
        <v>350</v>
      </c>
      <c r="CW130" s="62" t="s">
        <v>579</v>
      </c>
      <c r="CX130" s="62" t="s">
        <v>580</v>
      </c>
      <c r="CY130" s="13" t="s">
        <v>586</v>
      </c>
      <c r="CZ130" s="13" t="s">
        <v>89</v>
      </c>
      <c r="DA130" s="13" t="s">
        <v>582</v>
      </c>
      <c r="DB130" s="13" t="s">
        <v>577</v>
      </c>
      <c r="DC130" s="62" t="s">
        <v>584</v>
      </c>
      <c r="DD130" s="62" t="s">
        <v>585</v>
      </c>
      <c r="DE130" s="465" t="s">
        <v>757</v>
      </c>
      <c r="DF130" s="581" t="s">
        <v>760</v>
      </c>
      <c r="DG130" s="582" t="s">
        <v>759</v>
      </c>
      <c r="DH130" s="89" t="s">
        <v>10</v>
      </c>
      <c r="DI130" s="89" t="s">
        <v>937</v>
      </c>
      <c r="DJ130" s="936" t="s">
        <v>939</v>
      </c>
      <c r="DK130" s="936" t="s">
        <v>10</v>
      </c>
      <c r="DL130" s="89" t="s">
        <v>937</v>
      </c>
      <c r="DM130" s="936" t="s">
        <v>939</v>
      </c>
      <c r="DN130" s="47" t="s">
        <v>10</v>
      </c>
      <c r="DO130" s="936" t="s">
        <v>937</v>
      </c>
      <c r="DP130" s="936" t="s">
        <v>939</v>
      </c>
      <c r="DQ130" s="936" t="s">
        <v>951</v>
      </c>
      <c r="DR130" s="936" t="s">
        <v>937</v>
      </c>
      <c r="DS130" s="936" t="s">
        <v>939</v>
      </c>
    </row>
    <row r="131" spans="1:123" x14ac:dyDescent="0.15">
      <c r="A131" s="264"/>
      <c r="B131" s="694" t="s">
        <v>387</v>
      </c>
      <c r="C131" s="131">
        <v>11</v>
      </c>
      <c r="D131" s="131">
        <f>+(C131*0.3048)</f>
        <v>3.3528000000000002</v>
      </c>
      <c r="E131" s="131">
        <v>10.5</v>
      </c>
      <c r="F131" s="131">
        <f>+(E131*0.3048)</f>
        <v>3.2004000000000001</v>
      </c>
      <c r="G131" s="131">
        <v>326</v>
      </c>
      <c r="H131" s="131">
        <f t="shared" ref="H131:J135" si="15">+(G131*0.3048)</f>
        <v>99.364800000000002</v>
      </c>
      <c r="I131" s="131">
        <v>326</v>
      </c>
      <c r="J131" s="131">
        <f t="shared" si="15"/>
        <v>99.364800000000002</v>
      </c>
      <c r="K131" s="131">
        <f>+(C131*G131)+(D131*I131)</f>
        <v>4679.0128000000004</v>
      </c>
      <c r="L131" s="131">
        <f>+(K131*0.3048)</f>
        <v>1426.1631014400002</v>
      </c>
      <c r="M131" s="131">
        <v>7.25</v>
      </c>
      <c r="N131" s="131">
        <f>+M131*0.3048</f>
        <v>2.2098</v>
      </c>
      <c r="O131" s="131">
        <v>69</v>
      </c>
      <c r="P131" s="131">
        <f>+O131*0.3048</f>
        <v>21.031200000000002</v>
      </c>
      <c r="Q131" s="131">
        <v>72</v>
      </c>
      <c r="R131" s="131">
        <f>+Q131*0.3048</f>
        <v>21.945600000000002</v>
      </c>
      <c r="S131" s="131">
        <v>93.5</v>
      </c>
      <c r="T131" s="131">
        <f>+S131*0.3048</f>
        <v>28.498800000000003</v>
      </c>
      <c r="U131" s="131">
        <f>+S131*BI131</f>
        <v>31874.149999999998</v>
      </c>
      <c r="V131" s="131">
        <f>+U131*0.3048</f>
        <v>9715.2409200000002</v>
      </c>
      <c r="W131" s="131">
        <f>+Q131*BI131</f>
        <v>24544.799999999999</v>
      </c>
      <c r="X131" s="131">
        <f>+W131*0.3048</f>
        <v>7481.25504</v>
      </c>
      <c r="Y131" s="131">
        <v>0</v>
      </c>
      <c r="Z131" s="131">
        <v>0</v>
      </c>
      <c r="AA131" s="131"/>
      <c r="AB131" s="131"/>
      <c r="AC131" s="131">
        <v>64.75</v>
      </c>
      <c r="AD131" s="131">
        <v>19.735800000000001</v>
      </c>
      <c r="AE131" s="131"/>
      <c r="AF131" s="131"/>
      <c r="AG131" s="131" t="s">
        <v>18</v>
      </c>
      <c r="AH131" s="131"/>
      <c r="AI131" s="131">
        <v>245</v>
      </c>
      <c r="AJ131" s="131">
        <f>+AI131*0.3048</f>
        <v>74.676000000000002</v>
      </c>
      <c r="AK131" s="131">
        <f>+(M131*AI131)</f>
        <v>1776.25</v>
      </c>
      <c r="AL131" s="131">
        <f>+AK131*0.3048</f>
        <v>541.40100000000007</v>
      </c>
      <c r="AM131" s="131">
        <v>0</v>
      </c>
      <c r="AN131" s="131">
        <v>0</v>
      </c>
      <c r="AO131" s="131">
        <v>0</v>
      </c>
      <c r="AP131" s="642">
        <v>0</v>
      </c>
      <c r="AQ131" s="642">
        <v>0</v>
      </c>
      <c r="AR131" s="642">
        <f>+AQ131*0.3048</f>
        <v>0</v>
      </c>
      <c r="AS131" s="131">
        <v>0</v>
      </c>
      <c r="AT131" s="131">
        <v>0</v>
      </c>
      <c r="AU131" s="131">
        <v>0</v>
      </c>
      <c r="AV131" s="131">
        <f t="shared" ref="AV131:AX135" si="16">+AU131*0.3048</f>
        <v>0</v>
      </c>
      <c r="AW131" s="131">
        <v>0</v>
      </c>
      <c r="AX131" s="131">
        <v>0</v>
      </c>
      <c r="AY131" s="642">
        <v>0</v>
      </c>
      <c r="AZ131" s="642">
        <v>0</v>
      </c>
      <c r="BA131" s="642">
        <v>0</v>
      </c>
      <c r="BB131" s="642">
        <v>0</v>
      </c>
      <c r="BC131" s="642">
        <v>0</v>
      </c>
      <c r="BD131" s="642">
        <v>0</v>
      </c>
      <c r="BE131" s="642">
        <v>0</v>
      </c>
      <c r="BF131" s="642">
        <v>0</v>
      </c>
      <c r="BG131" s="642">
        <v>0.06</v>
      </c>
      <c r="BH131" s="642">
        <v>0.1</v>
      </c>
      <c r="BI131" s="642">
        <v>340.9</v>
      </c>
      <c r="BJ131" s="131">
        <f>+BI131*0.3048</f>
        <v>103.90631999999999</v>
      </c>
      <c r="BK131" s="131">
        <f>+BI131*2</f>
        <v>681.8</v>
      </c>
      <c r="BL131" s="131">
        <f t="shared" ref="BL131:BL136" si="17">+BK131*0.3048</f>
        <v>207.81263999999999</v>
      </c>
      <c r="BM131" s="131"/>
      <c r="BN131" s="131"/>
      <c r="BO131" s="131"/>
      <c r="BP131" s="131"/>
      <c r="BQ131" s="131"/>
      <c r="BR131" s="131"/>
      <c r="BS131" s="131"/>
      <c r="BT131" s="131"/>
      <c r="BU131" s="131"/>
      <c r="BV131" s="131"/>
      <c r="BW131" s="131"/>
      <c r="BX131" s="131" t="s">
        <v>397</v>
      </c>
      <c r="BY131" s="131">
        <v>0</v>
      </c>
      <c r="BZ131" s="131">
        <f t="shared" ref="BZ131:BZ136" si="18">+(BY131*0.3048)</f>
        <v>0</v>
      </c>
      <c r="CA131" s="131">
        <v>10</v>
      </c>
      <c r="CB131" s="131">
        <f t="shared" ref="CB131:CB137" si="19">+(CA131*0.3048)</f>
        <v>3.048</v>
      </c>
      <c r="CC131" s="131" t="s">
        <v>18</v>
      </c>
      <c r="CD131" s="131" t="s">
        <v>18</v>
      </c>
      <c r="CE131" s="131">
        <f>+(CA131*Q131)</f>
        <v>720</v>
      </c>
      <c r="CF131" s="131">
        <f t="shared" ref="CF131:CF136" si="20">+(CE131*0.3048)</f>
        <v>219.45600000000002</v>
      </c>
      <c r="CG131" s="131"/>
      <c r="CH131" s="131"/>
      <c r="CI131" s="131">
        <v>0</v>
      </c>
      <c r="CJ131" s="131">
        <v>0</v>
      </c>
      <c r="CK131" s="131">
        <v>0</v>
      </c>
      <c r="CL131" s="131">
        <v>0</v>
      </c>
      <c r="CM131" s="642">
        <v>0</v>
      </c>
      <c r="CN131" s="642">
        <v>0</v>
      </c>
      <c r="CO131" s="642">
        <v>0</v>
      </c>
      <c r="CP131" s="642">
        <v>0</v>
      </c>
      <c r="CQ131" s="642">
        <v>0</v>
      </c>
      <c r="CR131" s="642">
        <v>0</v>
      </c>
      <c r="CS131" s="642">
        <v>0</v>
      </c>
      <c r="CT131" s="642">
        <v>0</v>
      </c>
      <c r="CU131" s="642">
        <v>0</v>
      </c>
      <c r="CV131" s="131">
        <v>0</v>
      </c>
      <c r="CW131" s="131">
        <f>7.3*CA131</f>
        <v>73</v>
      </c>
      <c r="CX131" s="131">
        <f t="shared" ref="CX131:CX136" si="21">+CW131*0.3048</f>
        <v>22.250400000000003</v>
      </c>
      <c r="CY131" s="131">
        <v>206.6</v>
      </c>
      <c r="CZ131" s="131">
        <v>62.971679999999999</v>
      </c>
      <c r="DA131" s="131">
        <v>222.9</v>
      </c>
      <c r="DB131" s="131">
        <v>67.939920000000001</v>
      </c>
      <c r="DC131" s="131"/>
      <c r="DD131" s="131"/>
      <c r="DE131" s="80"/>
      <c r="DF131" s="14"/>
      <c r="DG131" s="136"/>
      <c r="DH131" s="87"/>
      <c r="DI131" s="87"/>
      <c r="DJ131" s="87"/>
      <c r="DK131" s="57"/>
      <c r="DL131" s="57"/>
      <c r="DM131" s="57"/>
      <c r="DN131" s="57"/>
      <c r="DO131" s="87"/>
      <c r="DP131" s="57"/>
      <c r="DQ131" s="57"/>
      <c r="DR131" s="57"/>
      <c r="DS131" s="57"/>
    </row>
    <row r="132" spans="1:123" x14ac:dyDescent="0.15">
      <c r="A132" s="265"/>
      <c r="B132" s="695" t="s">
        <v>386</v>
      </c>
      <c r="C132" s="113">
        <f>+(9.33334*0.5)+(18.08333334*0.5)</f>
        <v>13.70833667</v>
      </c>
      <c r="D132" s="113">
        <f>+(C132*0.3048)</f>
        <v>4.1783010170160004</v>
      </c>
      <c r="E132" s="113">
        <f>+(10.5*0.8)+(12.5*0.2)</f>
        <v>10.9</v>
      </c>
      <c r="F132" s="113">
        <f>+(E132*0.3048)</f>
        <v>3.3223200000000004</v>
      </c>
      <c r="G132" s="113">
        <v>324</v>
      </c>
      <c r="H132" s="113">
        <f t="shared" si="15"/>
        <v>98.755200000000002</v>
      </c>
      <c r="I132" s="113">
        <v>324</v>
      </c>
      <c r="J132" s="113">
        <f t="shared" si="15"/>
        <v>98.755200000000002</v>
      </c>
      <c r="K132" s="113">
        <f>+(C132*G132)+(D132*I132)</f>
        <v>5795.2706105931838</v>
      </c>
      <c r="L132" s="113">
        <f>+(K132*0.3048)</f>
        <v>1766.3984821088025</v>
      </c>
      <c r="M132" s="113">
        <v>6</v>
      </c>
      <c r="N132" s="113">
        <f>+M132*0.3048</f>
        <v>1.8288000000000002</v>
      </c>
      <c r="O132" s="113">
        <v>71</v>
      </c>
      <c r="P132" s="113">
        <f>+O132*0.3048</f>
        <v>21.640800000000002</v>
      </c>
      <c r="Q132" s="113">
        <v>76</v>
      </c>
      <c r="R132" s="113">
        <f>+Q132*0.3048</f>
        <v>23.1648</v>
      </c>
      <c r="S132" s="113">
        <v>98</v>
      </c>
      <c r="T132" s="113">
        <f>+S132*0.3048</f>
        <v>29.8704</v>
      </c>
      <c r="U132" s="113">
        <f>+S132*BI132</f>
        <v>36566.74</v>
      </c>
      <c r="V132" s="113">
        <f>+U132*0.3048</f>
        <v>11145.542352</v>
      </c>
      <c r="W132" s="113">
        <f>+Q132*BI132</f>
        <v>28357.88</v>
      </c>
      <c r="X132" s="113">
        <f>+W132*0.3048</f>
        <v>8643.4818240000004</v>
      </c>
      <c r="Y132" s="113">
        <v>0</v>
      </c>
      <c r="Z132" s="113">
        <v>0</v>
      </c>
      <c r="AA132" s="113"/>
      <c r="AB132" s="113"/>
      <c r="AC132" s="113">
        <v>63</v>
      </c>
      <c r="AD132" s="113">
        <v>19.202400000000001</v>
      </c>
      <c r="AE132" s="113"/>
      <c r="AF132" s="113"/>
      <c r="AG132" s="113" t="s">
        <v>18</v>
      </c>
      <c r="AH132" s="113" t="s">
        <v>18</v>
      </c>
      <c r="AI132" s="113">
        <v>303</v>
      </c>
      <c r="AJ132" s="113">
        <f>+AI132*0.3048</f>
        <v>92.354399999999998</v>
      </c>
      <c r="AK132" s="113">
        <f>+(M132*AI132)</f>
        <v>1818</v>
      </c>
      <c r="AL132" s="113">
        <f>+AK132*0.3048</f>
        <v>554.12639999999999</v>
      </c>
      <c r="AM132" s="113">
        <v>12</v>
      </c>
      <c r="AN132" s="113">
        <f>+AM132*0.3048</f>
        <v>3.6576000000000004</v>
      </c>
      <c r="AO132" s="113">
        <v>50</v>
      </c>
      <c r="AP132" s="113">
        <f>+AO132*0.3048</f>
        <v>15.24</v>
      </c>
      <c r="AQ132" s="299">
        <f>+AM132*AO132</f>
        <v>600</v>
      </c>
      <c r="AR132" s="299">
        <f>+AQ132*0.3048</f>
        <v>182.88</v>
      </c>
      <c r="AS132" s="113">
        <v>0</v>
      </c>
      <c r="AT132" s="113">
        <v>0</v>
      </c>
      <c r="AU132" s="113">
        <v>0</v>
      </c>
      <c r="AV132" s="113">
        <f t="shared" si="16"/>
        <v>0</v>
      </c>
      <c r="AW132" s="299">
        <v>0</v>
      </c>
      <c r="AX132" s="299">
        <v>0</v>
      </c>
      <c r="AY132" s="299">
        <v>0</v>
      </c>
      <c r="AZ132" s="299">
        <v>0</v>
      </c>
      <c r="BA132" s="299">
        <v>0</v>
      </c>
      <c r="BB132" s="299">
        <v>0</v>
      </c>
      <c r="BC132" s="299">
        <v>0</v>
      </c>
      <c r="BD132" s="299">
        <v>0</v>
      </c>
      <c r="BE132" s="299">
        <v>0</v>
      </c>
      <c r="BF132" s="299">
        <v>0</v>
      </c>
      <c r="BG132" s="299">
        <v>7.0000000000000007E-2</v>
      </c>
      <c r="BH132" s="299">
        <v>0.11</v>
      </c>
      <c r="BI132" s="299">
        <v>373.13</v>
      </c>
      <c r="BJ132" s="113">
        <f>+BI132*0.3048</f>
        <v>113.730024</v>
      </c>
      <c r="BK132" s="113">
        <f>+BI132*2</f>
        <v>746.26</v>
      </c>
      <c r="BL132" s="113">
        <f t="shared" si="17"/>
        <v>227.460048</v>
      </c>
      <c r="BM132" s="113"/>
      <c r="BN132" s="113"/>
      <c r="BO132" s="113"/>
      <c r="BP132" s="113"/>
      <c r="BQ132" s="113"/>
      <c r="BR132" s="113"/>
      <c r="BS132" s="113" t="s">
        <v>18</v>
      </c>
      <c r="BT132" s="113"/>
      <c r="BU132" s="113"/>
      <c r="BV132" s="113"/>
      <c r="BW132" s="113"/>
      <c r="BX132" s="113" t="s">
        <v>359</v>
      </c>
      <c r="BY132" s="113">
        <v>24</v>
      </c>
      <c r="BZ132" s="113">
        <f t="shared" si="18"/>
        <v>7.3152000000000008</v>
      </c>
      <c r="CA132" s="113">
        <v>24</v>
      </c>
      <c r="CB132" s="113">
        <f t="shared" si="19"/>
        <v>7.3152000000000008</v>
      </c>
      <c r="CC132" s="113" t="s">
        <v>18</v>
      </c>
      <c r="CD132" s="113" t="s">
        <v>18</v>
      </c>
      <c r="CE132" s="113">
        <f>+SUM(Q131+Q132)/2*(CA132)</f>
        <v>1776</v>
      </c>
      <c r="CF132" s="113">
        <f t="shared" si="20"/>
        <v>541.32479999999998</v>
      </c>
      <c r="CG132" s="113"/>
      <c r="CH132" s="113"/>
      <c r="CI132" s="113">
        <v>0</v>
      </c>
      <c r="CJ132" s="113">
        <v>0</v>
      </c>
      <c r="CK132" s="113">
        <v>0</v>
      </c>
      <c r="CL132" s="113">
        <v>0</v>
      </c>
      <c r="CM132" s="299">
        <v>0</v>
      </c>
      <c r="CN132" s="299">
        <v>0</v>
      </c>
      <c r="CO132" s="299">
        <v>0</v>
      </c>
      <c r="CP132" s="299">
        <v>0</v>
      </c>
      <c r="CQ132" s="299">
        <v>0</v>
      </c>
      <c r="CR132" s="299">
        <v>0</v>
      </c>
      <c r="CS132" s="299">
        <v>0</v>
      </c>
      <c r="CT132" s="299">
        <v>0</v>
      </c>
      <c r="CU132" s="299">
        <v>0</v>
      </c>
      <c r="CV132" s="113">
        <v>0</v>
      </c>
      <c r="CW132" s="113">
        <f>7.3*CA132</f>
        <v>175.2</v>
      </c>
      <c r="CX132" s="113">
        <f t="shared" si="21"/>
        <v>53.400959999999998</v>
      </c>
      <c r="CY132" s="113">
        <v>228.2</v>
      </c>
      <c r="CZ132" s="113">
        <v>69.555359999999993</v>
      </c>
      <c r="DA132" s="113">
        <v>232.5</v>
      </c>
      <c r="DB132" s="113">
        <v>70.866</v>
      </c>
      <c r="DC132" s="113"/>
      <c r="DD132" s="113"/>
      <c r="DE132" s="80"/>
      <c r="DF132" s="14"/>
      <c r="DG132" s="136"/>
      <c r="DH132" s="80"/>
      <c r="DI132" s="80"/>
      <c r="DJ132" s="80"/>
      <c r="DK132" s="94"/>
      <c r="DL132" s="94"/>
      <c r="DM132" s="94"/>
      <c r="DN132" s="94"/>
      <c r="DO132" s="80"/>
      <c r="DP132" s="94"/>
      <c r="DQ132" s="94"/>
      <c r="DR132" s="94"/>
      <c r="DS132" s="94"/>
    </row>
    <row r="133" spans="1:123" x14ac:dyDescent="0.15">
      <c r="A133" s="265"/>
      <c r="B133" s="695" t="s">
        <v>393</v>
      </c>
      <c r="C133" s="113">
        <f>+(10*0.1)+(6*0.9)</f>
        <v>6.4</v>
      </c>
      <c r="D133" s="113">
        <f>+(C133*0.3048)</f>
        <v>1.9507200000000002</v>
      </c>
      <c r="E133" s="113">
        <f>+(10*0.2)+(6*0.8)</f>
        <v>6.8000000000000007</v>
      </c>
      <c r="F133" s="113">
        <f>+(E133*0.3048)</f>
        <v>2.0726400000000003</v>
      </c>
      <c r="G133" s="113">
        <v>327</v>
      </c>
      <c r="H133" s="113">
        <f t="shared" si="15"/>
        <v>99.669600000000003</v>
      </c>
      <c r="I133" s="113">
        <v>327</v>
      </c>
      <c r="J133" s="113">
        <f t="shared" si="15"/>
        <v>99.669600000000003</v>
      </c>
      <c r="K133" s="113">
        <f>+(C133*G133)+(D133*I133)</f>
        <v>2730.6854400000002</v>
      </c>
      <c r="L133" s="113">
        <f>+(K133*0.3048)</f>
        <v>832.31292211200014</v>
      </c>
      <c r="M133" s="113">
        <v>0</v>
      </c>
      <c r="N133" s="113">
        <v>0</v>
      </c>
      <c r="O133" s="113">
        <v>76</v>
      </c>
      <c r="P133" s="113">
        <f>+O133*0.3048</f>
        <v>23.1648</v>
      </c>
      <c r="Q133" s="113">
        <v>76</v>
      </c>
      <c r="R133" s="113">
        <f>+Q133*0.3048</f>
        <v>23.1648</v>
      </c>
      <c r="S133" s="113">
        <v>96</v>
      </c>
      <c r="T133" s="113">
        <f>+S133*0.3048</f>
        <v>29.260800000000003</v>
      </c>
      <c r="U133" s="113">
        <f>+S133*BI133</f>
        <v>35106.239999999998</v>
      </c>
      <c r="V133" s="113">
        <f>+U133*0.3048</f>
        <v>10700.381952</v>
      </c>
      <c r="W133" s="113">
        <f>+Q133*BI133</f>
        <v>27792.44</v>
      </c>
      <c r="X133" s="113">
        <f>+W133*0.3048</f>
        <v>8471.1357119999993</v>
      </c>
      <c r="Y133" s="113">
        <v>0</v>
      </c>
      <c r="Z133" s="113">
        <v>0</v>
      </c>
      <c r="AA133" s="113"/>
      <c r="AB133" s="113"/>
      <c r="AC133" s="113">
        <v>305.2</v>
      </c>
      <c r="AD133" s="113">
        <v>93.024960000000007</v>
      </c>
      <c r="AE133" s="113"/>
      <c r="AF133" s="113"/>
      <c r="AG133" s="113" t="s">
        <v>18</v>
      </c>
      <c r="AH133" s="113"/>
      <c r="AI133" s="113">
        <v>0</v>
      </c>
      <c r="AJ133" s="113">
        <v>0</v>
      </c>
      <c r="AK133" s="113">
        <v>0</v>
      </c>
      <c r="AL133" s="113">
        <v>0</v>
      </c>
      <c r="AM133" s="113">
        <v>0</v>
      </c>
      <c r="AN133" s="299">
        <v>0</v>
      </c>
      <c r="AO133" s="299">
        <v>0</v>
      </c>
      <c r="AP133" s="299">
        <v>0</v>
      </c>
      <c r="AQ133" s="299">
        <v>0</v>
      </c>
      <c r="AR133" s="299">
        <f>+AQ133*0.3048</f>
        <v>0</v>
      </c>
      <c r="AS133" s="299">
        <v>0</v>
      </c>
      <c r="AT133" s="299">
        <v>0</v>
      </c>
      <c r="AU133" s="113">
        <v>0</v>
      </c>
      <c r="AV133" s="113">
        <f t="shared" si="16"/>
        <v>0</v>
      </c>
      <c r="AW133" s="299">
        <v>0</v>
      </c>
      <c r="AX133" s="299">
        <v>0</v>
      </c>
      <c r="AY133" s="299">
        <v>0</v>
      </c>
      <c r="AZ133" s="299">
        <v>0</v>
      </c>
      <c r="BA133" s="299">
        <v>0</v>
      </c>
      <c r="BB133" s="299">
        <v>0</v>
      </c>
      <c r="BC133" s="299">
        <v>0</v>
      </c>
      <c r="BD133" s="299">
        <v>0</v>
      </c>
      <c r="BE133" s="299">
        <v>0</v>
      </c>
      <c r="BF133" s="299">
        <v>0</v>
      </c>
      <c r="BG133" s="299">
        <v>7.0000000000000007E-2</v>
      </c>
      <c r="BH133" s="299">
        <v>0.11</v>
      </c>
      <c r="BI133" s="299">
        <v>365.69</v>
      </c>
      <c r="BJ133" s="113">
        <f>+BI133*0.3048</f>
        <v>111.46231200000001</v>
      </c>
      <c r="BK133" s="113">
        <f>+BI133*2</f>
        <v>731.38</v>
      </c>
      <c r="BL133" s="113">
        <f t="shared" si="17"/>
        <v>222.92462400000002</v>
      </c>
      <c r="BM133" s="113" t="s">
        <v>18</v>
      </c>
      <c r="BN133" s="113"/>
      <c r="BO133" s="113"/>
      <c r="BP133" s="113"/>
      <c r="BQ133" s="113"/>
      <c r="BR133" s="113"/>
      <c r="BS133" s="113"/>
      <c r="BT133" s="113"/>
      <c r="BU133" s="113"/>
      <c r="BV133" s="113"/>
      <c r="BW133" s="113"/>
      <c r="BX133" s="113" t="s">
        <v>358</v>
      </c>
      <c r="BY133" s="113">
        <v>22</v>
      </c>
      <c r="BZ133" s="113">
        <f t="shared" si="18"/>
        <v>6.7056000000000004</v>
      </c>
      <c r="CA133" s="113">
        <v>22</v>
      </c>
      <c r="CB133" s="113">
        <f t="shared" si="19"/>
        <v>6.7056000000000004</v>
      </c>
      <c r="CC133" s="113" t="s">
        <v>18</v>
      </c>
      <c r="CD133" s="113" t="s">
        <v>18</v>
      </c>
      <c r="CE133" s="113">
        <f>+(CA133*Q132)</f>
        <v>1672</v>
      </c>
      <c r="CF133" s="113">
        <f t="shared" si="20"/>
        <v>509.62560000000002</v>
      </c>
      <c r="CG133" s="113"/>
      <c r="CH133" s="113"/>
      <c r="CI133" s="113">
        <v>0</v>
      </c>
      <c r="CJ133" s="113">
        <v>0</v>
      </c>
      <c r="CK133" s="113">
        <v>0</v>
      </c>
      <c r="CL133" s="113">
        <v>0</v>
      </c>
      <c r="CM133" s="299">
        <v>0</v>
      </c>
      <c r="CN133" s="299">
        <v>0</v>
      </c>
      <c r="CO133" s="299">
        <v>0</v>
      </c>
      <c r="CP133" s="299">
        <v>0</v>
      </c>
      <c r="CQ133" s="299">
        <v>0</v>
      </c>
      <c r="CR133" s="299">
        <v>0</v>
      </c>
      <c r="CS133" s="299">
        <v>0</v>
      </c>
      <c r="CT133" s="299">
        <v>0</v>
      </c>
      <c r="CU133" s="299">
        <v>0</v>
      </c>
      <c r="CV133" s="113">
        <v>0</v>
      </c>
      <c r="CW133" s="113">
        <f>+CA132*6/2</f>
        <v>72</v>
      </c>
      <c r="CX133" s="113">
        <f t="shared" si="21"/>
        <v>21.945600000000002</v>
      </c>
      <c r="CY133" s="113">
        <v>215.1</v>
      </c>
      <c r="CZ133" s="113">
        <v>65.562480000000008</v>
      </c>
      <c r="DA133" s="113">
        <v>298.8</v>
      </c>
      <c r="DB133" s="113">
        <v>91.074240000000003</v>
      </c>
      <c r="DC133" s="113"/>
      <c r="DD133" s="113"/>
      <c r="DE133" s="80"/>
      <c r="DF133" s="14"/>
      <c r="DG133" s="136"/>
      <c r="DH133" s="80"/>
      <c r="DI133" s="80"/>
      <c r="DJ133" s="80"/>
      <c r="DK133" s="94"/>
      <c r="DL133" s="94"/>
      <c r="DM133" s="94"/>
      <c r="DN133" s="94"/>
      <c r="DO133" s="80"/>
      <c r="DP133" s="94"/>
      <c r="DQ133" s="94"/>
      <c r="DR133" s="94"/>
      <c r="DS133" s="94"/>
    </row>
    <row r="134" spans="1:123" x14ac:dyDescent="0.15">
      <c r="A134" s="265"/>
      <c r="B134" s="695" t="s">
        <v>394</v>
      </c>
      <c r="C134" s="113">
        <f>+(10.5*0.6)+(6*0.4)</f>
        <v>8.6999999999999993</v>
      </c>
      <c r="D134" s="113">
        <f>+(C134*0.3048)</f>
        <v>2.6517599999999999</v>
      </c>
      <c r="E134" s="113">
        <f>+(10*0.8)+(6*0.2)</f>
        <v>9.1999999999999993</v>
      </c>
      <c r="F134" s="113">
        <f>+(E134*0.3048)</f>
        <v>2.80416</v>
      </c>
      <c r="G134" s="113">
        <v>331</v>
      </c>
      <c r="H134" s="113">
        <f t="shared" si="15"/>
        <v>100.8888</v>
      </c>
      <c r="I134" s="113">
        <v>331</v>
      </c>
      <c r="J134" s="113">
        <f t="shared" si="15"/>
        <v>100.8888</v>
      </c>
      <c r="K134" s="113">
        <f>+(C134*G134)+(D134*I134)</f>
        <v>3757.4325599999997</v>
      </c>
      <c r="L134" s="113">
        <f>+(K134*0.3048)</f>
        <v>1145.265444288</v>
      </c>
      <c r="M134" s="113">
        <v>0</v>
      </c>
      <c r="N134" s="113">
        <f>+M134*0.3048</f>
        <v>0</v>
      </c>
      <c r="O134" s="113">
        <v>73</v>
      </c>
      <c r="P134" s="113">
        <f>+O134*0.3048</f>
        <v>22.250400000000003</v>
      </c>
      <c r="Q134" s="113">
        <v>83</v>
      </c>
      <c r="R134" s="113">
        <f>+Q134*0.3048</f>
        <v>25.298400000000001</v>
      </c>
      <c r="S134" s="113">
        <v>96</v>
      </c>
      <c r="T134" s="113">
        <f>+S134*0.3048</f>
        <v>29.260800000000003</v>
      </c>
      <c r="U134" s="113">
        <f>+S134*BI134</f>
        <v>35466.239999999998</v>
      </c>
      <c r="V134" s="113">
        <f>+U134*0.3048</f>
        <v>10810.109952000001</v>
      </c>
      <c r="W134" s="113">
        <f>+Q134*BI134</f>
        <v>30663.52</v>
      </c>
      <c r="X134" s="113">
        <f>+W134*0.3048</f>
        <v>9346.2408960000012</v>
      </c>
      <c r="Y134" s="113">
        <v>0</v>
      </c>
      <c r="Z134" s="113">
        <f>+Y134*0.3048</f>
        <v>0</v>
      </c>
      <c r="AA134" s="113"/>
      <c r="AB134" s="113"/>
      <c r="AC134" s="113">
        <v>317.10000000000002</v>
      </c>
      <c r="AD134" s="113">
        <v>96.652080000000012</v>
      </c>
      <c r="AE134" s="113"/>
      <c r="AF134" s="113"/>
      <c r="AG134" s="113" t="s">
        <v>18</v>
      </c>
      <c r="AH134" s="113" t="s">
        <v>18</v>
      </c>
      <c r="AI134" s="113">
        <v>0</v>
      </c>
      <c r="AJ134" s="113">
        <v>0</v>
      </c>
      <c r="AK134" s="113">
        <v>0</v>
      </c>
      <c r="AL134" s="299">
        <v>0</v>
      </c>
      <c r="AM134" s="299">
        <v>7</v>
      </c>
      <c r="AN134" s="113">
        <f>+AM134*0.3048</f>
        <v>2.1335999999999999</v>
      </c>
      <c r="AO134" s="299">
        <v>50</v>
      </c>
      <c r="AP134" s="113">
        <f>+AO134*0.3048</f>
        <v>15.24</v>
      </c>
      <c r="AQ134" s="299">
        <f>+AM134*AO134</f>
        <v>350</v>
      </c>
      <c r="AR134" s="299">
        <f>+AQ134*0.3048</f>
        <v>106.68</v>
      </c>
      <c r="AS134" s="113">
        <v>5</v>
      </c>
      <c r="AT134" s="113">
        <f>+AS134*0.3048</f>
        <v>1.524</v>
      </c>
      <c r="AU134" s="299">
        <v>314</v>
      </c>
      <c r="AV134" s="113">
        <f t="shared" si="16"/>
        <v>95.7072</v>
      </c>
      <c r="AW134" s="113">
        <f>+AS134*AU134</f>
        <v>1570</v>
      </c>
      <c r="AX134" s="113">
        <f t="shared" si="16"/>
        <v>478.536</v>
      </c>
      <c r="AY134" s="299">
        <v>0</v>
      </c>
      <c r="AZ134" s="299">
        <v>0</v>
      </c>
      <c r="BA134" s="299">
        <v>0</v>
      </c>
      <c r="BB134" s="299">
        <v>0</v>
      </c>
      <c r="BC134" s="299">
        <v>0</v>
      </c>
      <c r="BD134" s="299">
        <v>0</v>
      </c>
      <c r="BE134" s="299">
        <v>0</v>
      </c>
      <c r="BF134" s="299">
        <v>0</v>
      </c>
      <c r="BG134" s="299">
        <v>7.0000000000000007E-2</v>
      </c>
      <c r="BH134" s="299">
        <v>0.11</v>
      </c>
      <c r="BI134" s="299">
        <v>369.44</v>
      </c>
      <c r="BJ134" s="113">
        <f>+BI134*0.3048</f>
        <v>112.60531200000001</v>
      </c>
      <c r="BK134" s="113">
        <f>+BI134*2</f>
        <v>738.88</v>
      </c>
      <c r="BL134" s="113">
        <f t="shared" si="17"/>
        <v>225.21062400000002</v>
      </c>
      <c r="BM134" s="113"/>
      <c r="BN134" s="113"/>
      <c r="BO134" s="113"/>
      <c r="BP134" s="113"/>
      <c r="BQ134" s="113"/>
      <c r="BR134" s="113"/>
      <c r="BS134" s="113" t="s">
        <v>18</v>
      </c>
      <c r="BT134" s="113" t="s">
        <v>18</v>
      </c>
      <c r="BU134" s="113"/>
      <c r="BV134" s="113"/>
      <c r="BW134" s="113"/>
      <c r="BX134" s="113" t="s">
        <v>360</v>
      </c>
      <c r="BY134" s="113">
        <v>22</v>
      </c>
      <c r="BZ134" s="113">
        <f t="shared" si="18"/>
        <v>6.7056000000000004</v>
      </c>
      <c r="CA134" s="113">
        <v>22</v>
      </c>
      <c r="CB134" s="113">
        <f t="shared" si="19"/>
        <v>6.7056000000000004</v>
      </c>
      <c r="CC134" s="113" t="s">
        <v>18</v>
      </c>
      <c r="CD134" s="113" t="s">
        <v>18</v>
      </c>
      <c r="CE134" s="113">
        <f>+SUM(Q133+Q134)/2*(CA134)</f>
        <v>1749</v>
      </c>
      <c r="CF134" s="113">
        <f t="shared" si="20"/>
        <v>533.09519999999998</v>
      </c>
      <c r="CG134" s="113"/>
      <c r="CH134" s="113"/>
      <c r="CI134" s="299">
        <v>0</v>
      </c>
      <c r="CJ134" s="113">
        <v>0</v>
      </c>
      <c r="CK134" s="113">
        <v>0</v>
      </c>
      <c r="CL134" s="113">
        <v>0</v>
      </c>
      <c r="CM134" s="299">
        <v>0</v>
      </c>
      <c r="CN134" s="299">
        <v>0</v>
      </c>
      <c r="CO134" s="299">
        <v>0</v>
      </c>
      <c r="CP134" s="299">
        <v>0</v>
      </c>
      <c r="CQ134" s="299">
        <v>0</v>
      </c>
      <c r="CR134" s="299">
        <v>0</v>
      </c>
      <c r="CS134" s="299">
        <v>0</v>
      </c>
      <c r="CT134" s="299">
        <v>0</v>
      </c>
      <c r="CU134" s="299">
        <v>0</v>
      </c>
      <c r="CV134" s="113">
        <v>0</v>
      </c>
      <c r="CW134" s="299">
        <v>0</v>
      </c>
      <c r="CX134" s="113">
        <f t="shared" si="21"/>
        <v>0</v>
      </c>
      <c r="CY134" s="113">
        <v>314</v>
      </c>
      <c r="CZ134" s="113">
        <v>95.7072</v>
      </c>
      <c r="DA134" s="113">
        <v>314</v>
      </c>
      <c r="DB134" s="113">
        <v>95.7072</v>
      </c>
      <c r="DC134" s="113"/>
      <c r="DD134" s="113"/>
      <c r="DE134" s="80"/>
      <c r="DF134" s="14"/>
      <c r="DG134" s="136"/>
      <c r="DH134" s="80"/>
      <c r="DI134" s="80"/>
      <c r="DJ134" s="80"/>
      <c r="DK134" s="94"/>
      <c r="DL134" s="94"/>
      <c r="DM134" s="94"/>
      <c r="DN134" s="94"/>
      <c r="DO134" s="80"/>
      <c r="DP134" s="94"/>
      <c r="DQ134" s="94"/>
      <c r="DR134" s="94"/>
      <c r="DS134" s="94"/>
    </row>
    <row r="135" spans="1:123" x14ac:dyDescent="0.15">
      <c r="A135" s="265"/>
      <c r="B135" s="695" t="s">
        <v>388</v>
      </c>
      <c r="C135" s="113">
        <f>+(6*0.9)+(11*0.1)</f>
        <v>6.5</v>
      </c>
      <c r="D135" s="113">
        <f>+(C135*0.3048)</f>
        <v>1.9812000000000001</v>
      </c>
      <c r="E135" s="113">
        <f>+(6*0.5)+(11*0.5)</f>
        <v>8.5</v>
      </c>
      <c r="F135" s="113">
        <f>+(E135*0.3048)</f>
        <v>2.5908000000000002</v>
      </c>
      <c r="G135" s="299">
        <v>337</v>
      </c>
      <c r="H135" s="113">
        <f t="shared" si="15"/>
        <v>102.7176</v>
      </c>
      <c r="I135" s="113">
        <v>337</v>
      </c>
      <c r="J135" s="113">
        <f t="shared" si="15"/>
        <v>102.7176</v>
      </c>
      <c r="K135" s="113">
        <f>+(C135*G135)+(D135*I135)</f>
        <v>2858.1644000000001</v>
      </c>
      <c r="L135" s="113">
        <f>+(K135*0.3048)</f>
        <v>871.16850912000007</v>
      </c>
      <c r="M135" s="113">
        <v>9</v>
      </c>
      <c r="N135" s="113">
        <f>+M135*0.3048</f>
        <v>2.7432000000000003</v>
      </c>
      <c r="O135" s="113">
        <v>69.875370919881306</v>
      </c>
      <c r="P135" s="113">
        <f>+O135*0.3048</f>
        <v>21.298013056379823</v>
      </c>
      <c r="Q135" s="113">
        <v>83</v>
      </c>
      <c r="R135" s="113">
        <f>+Q135*0.3048</f>
        <v>25.298400000000001</v>
      </c>
      <c r="S135" s="113">
        <v>96</v>
      </c>
      <c r="T135" s="113">
        <f>+S135*0.3048</f>
        <v>29.260800000000003</v>
      </c>
      <c r="U135" s="113">
        <f>+S135*BI135</f>
        <v>35902.080000000002</v>
      </c>
      <c r="V135" s="113">
        <f>+U135*0.3048</f>
        <v>10942.953984000002</v>
      </c>
      <c r="W135" s="113">
        <f>+Q135*BI135</f>
        <v>31040.34</v>
      </c>
      <c r="X135" s="113">
        <f>+W135*0.3048</f>
        <v>9461.0956320000005</v>
      </c>
      <c r="Y135" s="113">
        <v>0</v>
      </c>
      <c r="Z135" s="113">
        <v>0</v>
      </c>
      <c r="AA135" s="113"/>
      <c r="AB135" s="113" t="s">
        <v>18</v>
      </c>
      <c r="AC135" s="113">
        <v>311.2</v>
      </c>
      <c r="AD135" s="113">
        <v>94.853760000000008</v>
      </c>
      <c r="AE135" s="113"/>
      <c r="AF135" s="113"/>
      <c r="AG135" s="113" t="s">
        <v>18</v>
      </c>
      <c r="AH135" s="113"/>
      <c r="AI135" s="113">
        <v>117</v>
      </c>
      <c r="AJ135" s="113">
        <f>+AI135*0.3048</f>
        <v>35.6616</v>
      </c>
      <c r="AK135" s="113">
        <f>+(M135*AI135)</f>
        <v>1053</v>
      </c>
      <c r="AL135" s="113">
        <f>+AK135*0.3048</f>
        <v>320.95440000000002</v>
      </c>
      <c r="AM135" s="299">
        <v>0</v>
      </c>
      <c r="AN135" s="113">
        <v>0</v>
      </c>
      <c r="AO135" s="299">
        <v>0</v>
      </c>
      <c r="AP135" s="299">
        <v>0</v>
      </c>
      <c r="AQ135" s="299">
        <v>0</v>
      </c>
      <c r="AR135" s="299">
        <f>+AQ135*0.3048</f>
        <v>0</v>
      </c>
      <c r="AS135" s="113">
        <v>5</v>
      </c>
      <c r="AT135" s="113">
        <f>+AS135*0.3048</f>
        <v>1.524</v>
      </c>
      <c r="AU135" s="299">
        <v>316</v>
      </c>
      <c r="AV135" s="113">
        <f t="shared" si="16"/>
        <v>96.316800000000001</v>
      </c>
      <c r="AW135" s="113">
        <f>+AS135*AU135</f>
        <v>1580</v>
      </c>
      <c r="AX135" s="113">
        <f t="shared" si="16"/>
        <v>481.584</v>
      </c>
      <c r="AY135" s="299">
        <v>0</v>
      </c>
      <c r="AZ135" s="299">
        <v>0</v>
      </c>
      <c r="BA135" s="299">
        <v>0</v>
      </c>
      <c r="BB135" s="299">
        <v>0</v>
      </c>
      <c r="BC135" s="299">
        <v>0</v>
      </c>
      <c r="BD135" s="299">
        <v>0</v>
      </c>
      <c r="BE135" s="299">
        <v>0</v>
      </c>
      <c r="BF135" s="299">
        <v>0</v>
      </c>
      <c r="BG135" s="299">
        <v>7.0000000000000007E-2</v>
      </c>
      <c r="BH135" s="299">
        <v>0.11</v>
      </c>
      <c r="BI135" s="299">
        <v>373.98</v>
      </c>
      <c r="BJ135" s="113">
        <f>+BI135*0.3048</f>
        <v>113.98910400000001</v>
      </c>
      <c r="BK135" s="113">
        <f>+BI135*2</f>
        <v>747.96</v>
      </c>
      <c r="BL135" s="113">
        <f t="shared" si="17"/>
        <v>227.97820800000002</v>
      </c>
      <c r="BM135" s="113" t="s">
        <v>18</v>
      </c>
      <c r="BN135" s="113"/>
      <c r="BO135" s="113"/>
      <c r="BP135" s="113"/>
      <c r="BQ135" s="113"/>
      <c r="BR135" s="113"/>
      <c r="BS135" s="113"/>
      <c r="BT135" s="113"/>
      <c r="BU135" s="113"/>
      <c r="BV135" s="113"/>
      <c r="BW135" s="113"/>
      <c r="BX135" s="113" t="s">
        <v>355</v>
      </c>
      <c r="BY135" s="113">
        <v>22</v>
      </c>
      <c r="BZ135" s="113">
        <f t="shared" si="18"/>
        <v>6.7056000000000004</v>
      </c>
      <c r="CA135" s="113">
        <v>22</v>
      </c>
      <c r="CB135" s="113">
        <f t="shared" si="19"/>
        <v>6.7056000000000004</v>
      </c>
      <c r="CC135" s="113" t="s">
        <v>18</v>
      </c>
      <c r="CD135" s="113" t="s">
        <v>18</v>
      </c>
      <c r="CE135" s="113">
        <f>+(CA135*Q134)</f>
        <v>1826</v>
      </c>
      <c r="CF135" s="113">
        <f t="shared" si="20"/>
        <v>556.56479999999999</v>
      </c>
      <c r="CG135" s="113" t="s">
        <v>18</v>
      </c>
      <c r="CH135" s="113"/>
      <c r="CI135" s="299">
        <v>0</v>
      </c>
      <c r="CJ135" s="113">
        <v>0</v>
      </c>
      <c r="CK135" s="113">
        <v>0</v>
      </c>
      <c r="CL135" s="113">
        <v>0</v>
      </c>
      <c r="CM135" s="299">
        <v>0</v>
      </c>
      <c r="CN135" s="299">
        <v>0</v>
      </c>
      <c r="CO135" s="299">
        <v>0</v>
      </c>
      <c r="CP135" s="299">
        <v>0</v>
      </c>
      <c r="CQ135" s="299">
        <v>0</v>
      </c>
      <c r="CR135" s="299">
        <v>0</v>
      </c>
      <c r="CS135" s="299">
        <v>0</v>
      </c>
      <c r="CT135" s="299">
        <v>0</v>
      </c>
      <c r="CU135" s="299">
        <v>0</v>
      </c>
      <c r="CV135" s="113">
        <v>0</v>
      </c>
      <c r="CW135" s="299">
        <f>+CA134*9/2</f>
        <v>99</v>
      </c>
      <c r="CX135" s="113">
        <f t="shared" si="21"/>
        <v>30.1752</v>
      </c>
      <c r="CY135" s="113">
        <v>316</v>
      </c>
      <c r="CZ135" s="113">
        <v>96.316800000000001</v>
      </c>
      <c r="DA135" s="113">
        <v>316</v>
      </c>
      <c r="DB135" s="113">
        <v>96.316800000000001</v>
      </c>
      <c r="DC135" s="113"/>
      <c r="DD135" s="113"/>
      <c r="DE135" s="795"/>
      <c r="DF135" s="592"/>
      <c r="DG135" s="603"/>
      <c r="DH135" s="80"/>
      <c r="DI135" s="80"/>
      <c r="DJ135" s="80"/>
      <c r="DK135" s="94"/>
      <c r="DL135" s="94"/>
      <c r="DM135" s="94"/>
      <c r="DN135" s="94"/>
      <c r="DO135" s="80"/>
      <c r="DP135" s="94"/>
      <c r="DQ135" s="94"/>
      <c r="DR135" s="94"/>
      <c r="DS135" s="94"/>
    </row>
    <row r="136" spans="1:123" ht="14" thickBot="1" x14ac:dyDescent="0.2">
      <c r="A136" s="265"/>
      <c r="B136" s="565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 t="s">
        <v>18</v>
      </c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  <c r="AA136" s="113"/>
      <c r="AB136" s="113"/>
      <c r="AC136" s="113"/>
      <c r="AD136" s="113"/>
      <c r="AE136" s="113"/>
      <c r="AF136" s="113"/>
      <c r="AG136" s="113"/>
      <c r="AH136" s="113"/>
      <c r="AI136" s="113"/>
      <c r="AJ136" s="113"/>
      <c r="AK136" s="113"/>
      <c r="AL136" s="113"/>
      <c r="AM136" s="113"/>
      <c r="AN136" s="113"/>
      <c r="AO136" s="113"/>
      <c r="AP136" s="113"/>
      <c r="AQ136" s="113"/>
      <c r="AR136" s="113"/>
      <c r="AS136" s="113"/>
      <c r="AT136" s="113"/>
      <c r="AU136" s="113"/>
      <c r="AV136" s="113"/>
      <c r="AW136" s="113"/>
      <c r="AX136" s="113"/>
      <c r="AY136" s="113"/>
      <c r="AZ136" s="113"/>
      <c r="BA136" s="113"/>
      <c r="BB136" s="113"/>
      <c r="BC136" s="113"/>
      <c r="BD136" s="113"/>
      <c r="BE136" s="113"/>
      <c r="BF136" s="113"/>
      <c r="BG136" s="113"/>
      <c r="BH136" s="113"/>
      <c r="BI136" s="113"/>
      <c r="BJ136" s="113"/>
      <c r="BK136" s="462">
        <f>SUM(BK131:BK135)</f>
        <v>3646.28</v>
      </c>
      <c r="BL136" s="462">
        <f t="shared" si="17"/>
        <v>1111.3861440000001</v>
      </c>
      <c r="BM136" s="113"/>
      <c r="BN136" s="113"/>
      <c r="BO136" s="113"/>
      <c r="BP136" s="113"/>
      <c r="BQ136" s="113"/>
      <c r="BR136" s="113"/>
      <c r="BS136" s="113"/>
      <c r="BT136" s="113"/>
      <c r="BU136" s="113"/>
      <c r="BV136" s="113"/>
      <c r="BW136" s="113"/>
      <c r="BX136" s="113" t="s">
        <v>354</v>
      </c>
      <c r="BY136" s="113">
        <v>24</v>
      </c>
      <c r="BZ136" s="113">
        <f t="shared" si="18"/>
        <v>7.3152000000000008</v>
      </c>
      <c r="CA136" s="113">
        <v>18</v>
      </c>
      <c r="CB136" s="299">
        <f t="shared" si="19"/>
        <v>5.4864000000000006</v>
      </c>
      <c r="CC136" s="113"/>
      <c r="CD136" s="113"/>
      <c r="CE136" s="113">
        <f>+(CA136*Q135)</f>
        <v>1494</v>
      </c>
      <c r="CF136" s="113">
        <f t="shared" si="20"/>
        <v>455.37120000000004</v>
      </c>
      <c r="CG136" s="113"/>
      <c r="CH136" s="113"/>
      <c r="CI136" s="299">
        <v>0</v>
      </c>
      <c r="CJ136" s="113">
        <v>0</v>
      </c>
      <c r="CK136" s="113">
        <v>0</v>
      </c>
      <c r="CL136" s="113">
        <v>0</v>
      </c>
      <c r="CM136" s="299">
        <v>0</v>
      </c>
      <c r="CN136" s="299">
        <v>0</v>
      </c>
      <c r="CO136" s="299">
        <v>0</v>
      </c>
      <c r="CP136" s="299">
        <v>0</v>
      </c>
      <c r="CQ136" s="299">
        <v>0</v>
      </c>
      <c r="CR136" s="299">
        <v>0</v>
      </c>
      <c r="CS136" s="299">
        <v>0</v>
      </c>
      <c r="CT136" s="299">
        <v>0</v>
      </c>
      <c r="CU136" s="299">
        <v>0</v>
      </c>
      <c r="CV136" s="113">
        <v>0</v>
      </c>
      <c r="CW136" s="299">
        <v>0</v>
      </c>
      <c r="CX136" s="113">
        <f t="shared" si="21"/>
        <v>0</v>
      </c>
      <c r="CY136" s="113">
        <v>1279.9000000000001</v>
      </c>
      <c r="CZ136" s="113">
        <v>390.11351999999999</v>
      </c>
      <c r="DA136" s="113">
        <v>1384.2</v>
      </c>
      <c r="DB136" s="113">
        <v>421.90415999999999</v>
      </c>
      <c r="DC136" s="84">
        <f>+CY136+DA136</f>
        <v>2664.1000000000004</v>
      </c>
      <c r="DD136" s="84">
        <f>+CZ136+DB136</f>
        <v>812.01767999999993</v>
      </c>
      <c r="DE136" s="91" t="s">
        <v>18</v>
      </c>
      <c r="DF136" s="592" t="s">
        <v>18</v>
      </c>
      <c r="DG136" s="603" t="s">
        <v>18</v>
      </c>
      <c r="DH136" s="82"/>
      <c r="DI136" s="82"/>
      <c r="DJ136" s="82"/>
      <c r="DK136" s="95"/>
      <c r="DL136" s="95"/>
      <c r="DM136" s="95"/>
      <c r="DN136" s="95"/>
      <c r="DO136" s="82"/>
      <c r="DP136" s="954" t="s">
        <v>18</v>
      </c>
      <c r="DQ136" s="95"/>
      <c r="DR136" s="95"/>
      <c r="DS136" s="95"/>
    </row>
    <row r="137" spans="1:123" ht="14" thickBot="1" x14ac:dyDescent="0.2">
      <c r="A137" s="265"/>
      <c r="B137" s="264" t="s">
        <v>97</v>
      </c>
      <c r="C137" s="263" t="s">
        <v>18</v>
      </c>
      <c r="D137" s="132" t="s">
        <v>18</v>
      </c>
      <c r="E137" s="131" t="s">
        <v>18</v>
      </c>
      <c r="F137" s="132" t="s">
        <v>18</v>
      </c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50"/>
      <c r="AI137" s="50"/>
      <c r="AJ137" s="50"/>
      <c r="AK137" s="50"/>
      <c r="AL137" s="50"/>
      <c r="AM137" s="50"/>
      <c r="AN137" s="50"/>
      <c r="AO137" s="50"/>
      <c r="AP137" s="50"/>
      <c r="AQ137" s="263" t="s">
        <v>18</v>
      </c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263" t="s">
        <v>18</v>
      </c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44"/>
      <c r="BU137" s="44"/>
      <c r="BV137" s="50"/>
      <c r="BW137" s="50"/>
      <c r="BX137" s="131"/>
      <c r="BY137" s="475">
        <f>+(BY132+BY133+BY134+BY135+BY136)/10</f>
        <v>11.4</v>
      </c>
      <c r="BZ137" s="263"/>
      <c r="CA137" s="475">
        <f>+(CA131+CA132+CA133+CA134+CA135+CA136)/10</f>
        <v>11.8</v>
      </c>
      <c r="CB137" s="32">
        <f t="shared" si="19"/>
        <v>3.5966400000000003</v>
      </c>
      <c r="CC137" s="131"/>
      <c r="CD137" s="132"/>
      <c r="CE137" s="132"/>
      <c r="CF137" s="132"/>
      <c r="CG137" s="132"/>
      <c r="CH137" s="132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32">
        <f>SUM(CW131:CW136)</f>
        <v>419.2</v>
      </c>
      <c r="CX137" s="484">
        <f>SUM(CX131:CX136)</f>
        <v>127.77216</v>
      </c>
      <c r="CY137" s="50"/>
      <c r="CZ137" s="50"/>
      <c r="DA137" s="50"/>
      <c r="DB137" s="50"/>
      <c r="DC137" s="50"/>
      <c r="DD137" s="50"/>
      <c r="DE137" s="86"/>
      <c r="DF137" s="44"/>
      <c r="DG137" s="45"/>
      <c r="DH137" s="86"/>
      <c r="DI137" s="86"/>
      <c r="DJ137" s="86"/>
      <c r="DK137" s="934"/>
      <c r="DL137" s="934"/>
      <c r="DM137" s="934"/>
      <c r="DN137" s="934"/>
      <c r="DO137" s="86"/>
      <c r="DP137" s="934"/>
      <c r="DQ137" s="934"/>
      <c r="DR137" s="934"/>
      <c r="DS137" s="934"/>
    </row>
    <row r="138" spans="1:123" ht="14" thickBot="1" x14ac:dyDescent="0.2">
      <c r="A138" s="80"/>
      <c r="B138" s="42" t="s">
        <v>253</v>
      </c>
      <c r="C138" s="98" t="s">
        <v>18</v>
      </c>
      <c r="D138" s="98" t="s">
        <v>18</v>
      </c>
      <c r="E138" s="97" t="s">
        <v>18</v>
      </c>
      <c r="F138" s="98" t="s">
        <v>18</v>
      </c>
      <c r="G138" s="696">
        <f>+(BI138-AG139)</f>
        <v>1645.14</v>
      </c>
      <c r="H138" s="696">
        <f>+G138*0.3048</f>
        <v>501.43867200000005</v>
      </c>
      <c r="I138" s="696">
        <f>+(BI138-AG139)</f>
        <v>1645.14</v>
      </c>
      <c r="J138" s="696">
        <f>+I138*0.3048</f>
        <v>501.43867200000005</v>
      </c>
      <c r="K138" s="575">
        <f>SUM(K131:K135)</f>
        <v>19820.565810593187</v>
      </c>
      <c r="L138" s="575">
        <f>SUM(L131:L135)</f>
        <v>6041.3084590688022</v>
      </c>
      <c r="M138" s="591"/>
      <c r="N138" s="591"/>
      <c r="O138" s="591"/>
      <c r="P138" s="591"/>
      <c r="Q138" s="591"/>
      <c r="R138" s="591"/>
      <c r="S138" s="591"/>
      <c r="T138" s="591"/>
      <c r="U138" s="575">
        <f>SUM(U131:U135)</f>
        <v>174915.45</v>
      </c>
      <c r="V138" s="575">
        <f>+U138*0.3048</f>
        <v>53314.22916000001</v>
      </c>
      <c r="W138" s="575">
        <f>SUM(W131:W135)</f>
        <v>142398.98000000001</v>
      </c>
      <c r="X138" s="575">
        <f>SUM(X131:X135)</f>
        <v>43403.209104000009</v>
      </c>
      <c r="Y138" s="579"/>
      <c r="Z138" s="579"/>
      <c r="AA138" s="575">
        <v>137751.73000000001</v>
      </c>
      <c r="AB138" s="575">
        <v>43403.209104000009</v>
      </c>
      <c r="AC138" s="575">
        <f>SUM(AC131:AC135)</f>
        <v>1061.25</v>
      </c>
      <c r="AD138" s="575">
        <f>SUM(AD131:AD135)</f>
        <v>323.46900000000005</v>
      </c>
      <c r="AE138" s="575">
        <v>157.69999999999999</v>
      </c>
      <c r="AF138" s="575">
        <v>48.066960000000002</v>
      </c>
      <c r="AG138" s="579">
        <v>178</v>
      </c>
      <c r="AH138" s="575">
        <f>+AG138*0.3048</f>
        <v>54.254400000000004</v>
      </c>
      <c r="AI138" s="579">
        <f>SUM(AI131:AI135)</f>
        <v>665</v>
      </c>
      <c r="AJ138" s="589">
        <f>SUM(AJ131:AJ135)</f>
        <v>202.69199999999998</v>
      </c>
      <c r="AK138" s="579">
        <f>SUM(AK131:AK135)</f>
        <v>4647.25</v>
      </c>
      <c r="AL138" s="589">
        <f>SUM(AL131:AL135)</f>
        <v>1416.4818</v>
      </c>
      <c r="AM138" s="575" t="s">
        <v>18</v>
      </c>
      <c r="AN138" s="575" t="s">
        <v>18</v>
      </c>
      <c r="AO138" s="579">
        <f>SUM(AO132:AO137)</f>
        <v>100</v>
      </c>
      <c r="AP138" s="589">
        <f>SUM(AP132:AP137)</f>
        <v>30.48</v>
      </c>
      <c r="AQ138" s="579">
        <f>SUM(AQ131:AQ135)</f>
        <v>950</v>
      </c>
      <c r="AR138" s="575">
        <f>SUM(AR131:AR135)</f>
        <v>289.56</v>
      </c>
      <c r="AS138" s="579">
        <f>SUM(AS131:AS137)</f>
        <v>10</v>
      </c>
      <c r="AT138" s="575">
        <f>+AS138*0.3048</f>
        <v>3.048</v>
      </c>
      <c r="AU138" s="575">
        <f>SUM(AU131:AU137)</f>
        <v>630</v>
      </c>
      <c r="AV138" s="575">
        <f>+AU138*0.3048</f>
        <v>192.024</v>
      </c>
      <c r="AW138" s="579">
        <f>SUM(AW131:AW135)</f>
        <v>3150</v>
      </c>
      <c r="AX138" s="579">
        <f>SUM(AX131:AX136)</f>
        <v>960.12</v>
      </c>
      <c r="AY138" s="591"/>
      <c r="AZ138" s="591"/>
      <c r="BA138" s="591"/>
      <c r="BB138" s="591"/>
      <c r="BC138" s="591"/>
      <c r="BD138" s="591"/>
      <c r="BE138" s="591"/>
      <c r="BF138" s="591"/>
      <c r="BG138" s="579">
        <v>0.35</v>
      </c>
      <c r="BH138" s="589">
        <f>+BG138*1.609344</f>
        <v>0.56327039999999995</v>
      </c>
      <c r="BI138" s="579">
        <f>SUM(BI131:BI135)</f>
        <v>1823.14</v>
      </c>
      <c r="BJ138" s="575">
        <f>+BI138*0.3048</f>
        <v>555.69307200000003</v>
      </c>
      <c r="BK138" s="579">
        <f>+BI138*2</f>
        <v>3646.28</v>
      </c>
      <c r="BL138" s="575">
        <f>+BK138*0.3048</f>
        <v>1111.3861440000001</v>
      </c>
      <c r="BM138" s="579">
        <v>10777.5</v>
      </c>
      <c r="BN138" s="579">
        <v>3284.982</v>
      </c>
      <c r="BO138" s="700">
        <f>+AC138/BK138</f>
        <v>0.29105005649593557</v>
      </c>
      <c r="BP138" s="700">
        <f>+AE138/BK138</f>
        <v>4.3249558454095678E-2</v>
      </c>
      <c r="BQ138" s="700">
        <f>+AG138/BI138</f>
        <v>9.7633752756233746E-2</v>
      </c>
      <c r="BR138" s="700">
        <f>+AI138/BI138</f>
        <v>0.36475531226345753</v>
      </c>
      <c r="BS138" s="700">
        <f>+AO138/BK138</f>
        <v>2.7425211448380265E-2</v>
      </c>
      <c r="BT138" s="750">
        <v>4.5999999999999999E-3</v>
      </c>
      <c r="BU138" s="750">
        <v>3.5000000000000001E-3</v>
      </c>
      <c r="BV138" s="753">
        <v>14327</v>
      </c>
      <c r="BW138" s="578">
        <v>4366.8696</v>
      </c>
      <c r="BX138" s="591"/>
      <c r="BY138" s="734" t="s">
        <v>18</v>
      </c>
      <c r="BZ138" s="579" t="s">
        <v>18</v>
      </c>
      <c r="CA138" s="734" t="s">
        <v>18</v>
      </c>
      <c r="CB138" s="591"/>
      <c r="CC138" s="569">
        <f>+(BY137*AG139)*2</f>
        <v>4058.4</v>
      </c>
      <c r="CD138" s="578">
        <f>+CC138*0.3048</f>
        <v>1237.0003200000001</v>
      </c>
      <c r="CE138" s="569">
        <f>SUM(CE131:CE136)</f>
        <v>9237</v>
      </c>
      <c r="CF138" s="578">
        <f>+CE138*0.3048</f>
        <v>2815.4376000000002</v>
      </c>
      <c r="CG138" s="569">
        <f>+CC138+CE138</f>
        <v>13295.4</v>
      </c>
      <c r="CH138" s="578">
        <f>+CG138*0.3048</f>
        <v>4052.4379200000003</v>
      </c>
      <c r="CI138" s="591"/>
      <c r="CJ138" s="591"/>
      <c r="CK138" s="591"/>
      <c r="CL138" s="591"/>
      <c r="CM138" s="591"/>
      <c r="CN138" s="591"/>
      <c r="CO138" s="591"/>
      <c r="CP138" s="591"/>
      <c r="CQ138" s="591"/>
      <c r="CR138" s="591"/>
      <c r="CS138" s="591"/>
      <c r="CT138" s="591"/>
      <c r="CU138" s="591"/>
      <c r="CV138" s="591"/>
      <c r="CW138" s="591"/>
      <c r="CX138" s="591"/>
      <c r="CY138" s="591"/>
      <c r="CZ138" s="591"/>
      <c r="DA138" s="591"/>
      <c r="DB138" s="591"/>
      <c r="DC138" s="591"/>
      <c r="DD138" s="591"/>
      <c r="DE138" s="794">
        <v>23</v>
      </c>
      <c r="DF138" s="575">
        <f>+DE138/BG138</f>
        <v>65.714285714285722</v>
      </c>
      <c r="DG138" s="576">
        <f>+DE138/BH138</f>
        <v>40.83296406131052</v>
      </c>
      <c r="DH138" s="949">
        <v>521.6</v>
      </c>
      <c r="DI138" s="949">
        <f>+DH138/BG138</f>
        <v>1490.2857142857144</v>
      </c>
      <c r="DJ138" s="949">
        <f>+DH138/BH138</f>
        <v>926.02061105998121</v>
      </c>
      <c r="DK138" s="950">
        <v>242.3</v>
      </c>
      <c r="DL138" s="950">
        <f>+DK138/BG138</f>
        <v>692.28571428571433</v>
      </c>
      <c r="DM138" s="950">
        <f>+DK138/BH138</f>
        <v>430.1663996545887</v>
      </c>
      <c r="DN138" s="950">
        <v>38.299999999999997</v>
      </c>
      <c r="DO138" s="949">
        <f>+DN138/BG138</f>
        <v>109.42857142857143</v>
      </c>
      <c r="DP138" s="950">
        <f>+DN138/BH138</f>
        <v>67.995761893399688</v>
      </c>
      <c r="DQ138" s="931">
        <v>23</v>
      </c>
      <c r="DR138" s="950">
        <f>+DQ138/BG138</f>
        <v>65.714285714285722</v>
      </c>
      <c r="DS138" s="950">
        <f>+DQ138/BH138</f>
        <v>40.83296406131052</v>
      </c>
    </row>
    <row r="139" spans="1:123" ht="14" thickBot="1" x14ac:dyDescent="0.2">
      <c r="A139" s="80"/>
      <c r="B139" s="107" t="s">
        <v>126</v>
      </c>
      <c r="C139" s="14"/>
      <c r="D139" s="14"/>
      <c r="E139" s="14"/>
      <c r="F139" s="14"/>
      <c r="G139" s="14"/>
      <c r="H139" s="14"/>
      <c r="I139" s="14"/>
      <c r="J139" s="14"/>
      <c r="K139" s="92" t="s">
        <v>18</v>
      </c>
      <c r="L139" s="92" t="s">
        <v>18</v>
      </c>
      <c r="M139" s="92" t="s">
        <v>18</v>
      </c>
      <c r="N139" s="92" t="s">
        <v>18</v>
      </c>
      <c r="O139" s="92" t="s">
        <v>18</v>
      </c>
      <c r="P139" s="92" t="s">
        <v>18</v>
      </c>
      <c r="Q139" s="92" t="s">
        <v>18</v>
      </c>
      <c r="R139" s="92" t="s">
        <v>18</v>
      </c>
      <c r="S139" s="92" t="s">
        <v>18</v>
      </c>
      <c r="T139" s="92" t="s">
        <v>18</v>
      </c>
      <c r="U139" s="92" t="s">
        <v>18</v>
      </c>
      <c r="V139" s="92" t="s">
        <v>18</v>
      </c>
      <c r="W139" s="92" t="s">
        <v>18</v>
      </c>
      <c r="X139" s="92" t="s">
        <v>18</v>
      </c>
      <c r="Y139" s="92" t="s">
        <v>18</v>
      </c>
      <c r="Z139" s="92" t="s">
        <v>18</v>
      </c>
      <c r="AA139" s="592">
        <f>+W138-AK138</f>
        <v>137751.73000000001</v>
      </c>
      <c r="AB139" s="592">
        <f>+X138-IP138</f>
        <v>43403.209104000009</v>
      </c>
      <c r="AC139" s="733"/>
      <c r="AD139" s="733"/>
      <c r="AE139" s="733"/>
      <c r="AF139" s="733"/>
      <c r="AG139" s="580">
        <v>178</v>
      </c>
      <c r="AH139" s="592">
        <f>+AG139*0.3048</f>
        <v>54.254400000000004</v>
      </c>
      <c r="AI139" s="92" t="s">
        <v>18</v>
      </c>
      <c r="AJ139" s="92" t="s">
        <v>18</v>
      </c>
      <c r="AK139" s="92" t="s">
        <v>18</v>
      </c>
      <c r="AL139" s="289" t="s">
        <v>18</v>
      </c>
      <c r="AM139" s="287"/>
      <c r="AN139" s="287"/>
      <c r="AO139" s="92"/>
      <c r="AP139" s="92"/>
      <c r="AQ139" s="592">
        <v>950</v>
      </c>
      <c r="AR139" s="583">
        <f>+AQ139*0.3048</f>
        <v>289.56</v>
      </c>
      <c r="AS139" s="92"/>
      <c r="AT139" s="14"/>
      <c r="AU139" s="14"/>
      <c r="AV139" s="14"/>
      <c r="AW139" s="14"/>
      <c r="AX139" s="14"/>
      <c r="AY139" s="92"/>
      <c r="AZ139" s="92"/>
      <c r="BA139" s="92"/>
      <c r="BB139" s="92"/>
      <c r="BC139" s="92"/>
      <c r="BD139" s="92"/>
      <c r="BE139" s="92"/>
      <c r="BF139" s="92"/>
      <c r="BG139" s="64" t="s">
        <v>18</v>
      </c>
      <c r="BH139" s="14"/>
      <c r="BI139" s="14"/>
      <c r="BJ139" s="14"/>
      <c r="BK139" s="14"/>
      <c r="BL139" s="14"/>
      <c r="BM139" s="739"/>
      <c r="BN139" s="740"/>
      <c r="BO139" s="741" t="s">
        <v>18</v>
      </c>
      <c r="BP139" s="741"/>
      <c r="BQ139" s="741" t="s">
        <v>18</v>
      </c>
      <c r="BR139" s="741" t="s">
        <v>18</v>
      </c>
      <c r="BS139" s="741" t="s">
        <v>18</v>
      </c>
      <c r="BV139" s="92"/>
      <c r="BW139" s="289"/>
      <c r="BX139" s="92"/>
      <c r="BY139" s="92"/>
      <c r="BZ139" s="92"/>
      <c r="CA139" s="92" t="s">
        <v>18</v>
      </c>
      <c r="CB139" s="92"/>
      <c r="CC139" s="288"/>
      <c r="CD139" s="488"/>
      <c r="CE139" s="288"/>
      <c r="CF139" s="488"/>
      <c r="CG139" s="288"/>
      <c r="CH139" s="488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  <c r="DE139" s="86"/>
      <c r="DF139" s="44"/>
      <c r="DG139" s="45"/>
      <c r="DH139" s="86"/>
      <c r="DI139" s="86"/>
      <c r="DJ139" s="86"/>
      <c r="DK139" s="934"/>
      <c r="DL139" s="934"/>
      <c r="DM139" s="934"/>
      <c r="DN139" s="934"/>
      <c r="DO139" s="86"/>
      <c r="DP139" s="934"/>
      <c r="DQ139" s="934"/>
      <c r="DR139" s="934"/>
      <c r="DS139" s="934"/>
    </row>
    <row r="140" spans="1:123" ht="14" thickBot="1" x14ac:dyDescent="0.2">
      <c r="A140" s="82"/>
      <c r="B140" s="42" t="s">
        <v>705</v>
      </c>
      <c r="C140" s="96"/>
      <c r="D140" s="96"/>
      <c r="E140" s="65"/>
      <c r="F140" s="65"/>
      <c r="G140" s="67"/>
      <c r="H140" s="67"/>
      <c r="I140" s="67"/>
      <c r="J140" s="67"/>
      <c r="K140" s="67"/>
      <c r="L140" s="67"/>
      <c r="M140" s="67"/>
      <c r="N140" s="67"/>
      <c r="O140" s="67"/>
      <c r="P140" s="67"/>
      <c r="Q140" s="67"/>
      <c r="R140" s="67"/>
      <c r="S140" s="67"/>
      <c r="T140" s="67"/>
      <c r="U140" s="65" t="s">
        <v>18</v>
      </c>
      <c r="V140" s="65" t="s">
        <v>18</v>
      </c>
      <c r="W140" s="97" t="s">
        <v>18</v>
      </c>
      <c r="X140" s="97" t="s">
        <v>18</v>
      </c>
      <c r="Y140" s="97"/>
      <c r="Z140" s="97" t="s">
        <v>18</v>
      </c>
      <c r="AA140" s="97" t="s">
        <v>18</v>
      </c>
      <c r="AB140" s="97" t="s">
        <v>18</v>
      </c>
      <c r="AC140" s="698"/>
      <c r="AD140" s="699"/>
      <c r="AE140" s="699"/>
      <c r="AF140" s="699"/>
      <c r="AG140" s="699"/>
      <c r="AH140" s="699"/>
      <c r="AI140" s="699"/>
      <c r="AJ140" s="699"/>
      <c r="AK140" s="699"/>
      <c r="AL140" s="699"/>
      <c r="AM140" s="699"/>
      <c r="AN140" s="699"/>
      <c r="AO140" s="699"/>
      <c r="AP140" s="699"/>
      <c r="AQ140" s="699"/>
      <c r="AR140" s="699"/>
      <c r="AS140" s="699"/>
      <c r="AT140" s="699"/>
      <c r="AU140" s="699"/>
      <c r="AV140" s="699"/>
      <c r="AW140" s="44"/>
      <c r="AX140" s="44"/>
      <c r="AY140" s="699"/>
      <c r="AZ140" s="699"/>
      <c r="BA140" s="699"/>
      <c r="BB140" s="699"/>
      <c r="BC140" s="699"/>
      <c r="BD140" s="699"/>
      <c r="BE140" s="699"/>
      <c r="BF140" s="699"/>
      <c r="BG140" s="699"/>
      <c r="BH140" s="699"/>
      <c r="BI140" s="699"/>
      <c r="BJ140" s="699"/>
      <c r="BK140" s="699" t="s">
        <v>18</v>
      </c>
      <c r="BL140" s="698" t="s">
        <v>18</v>
      </c>
      <c r="BM140" s="699"/>
      <c r="BN140" s="699"/>
      <c r="BO140" s="699"/>
      <c r="BP140" s="699"/>
      <c r="BQ140" s="699"/>
      <c r="BR140" s="699"/>
      <c r="BS140" s="699"/>
      <c r="BT140" s="699"/>
      <c r="BU140" s="699"/>
      <c r="BV140" s="699"/>
      <c r="BW140" s="699"/>
      <c r="BX140" s="699"/>
      <c r="BY140" s="699"/>
      <c r="BZ140" s="699"/>
      <c r="CA140" s="699"/>
      <c r="CB140" s="699"/>
      <c r="CC140" s="699"/>
      <c r="CD140" s="699"/>
      <c r="CE140" s="699"/>
      <c r="CF140" s="699"/>
      <c r="CG140" s="699"/>
      <c r="CH140" s="699"/>
      <c r="CI140" s="44"/>
      <c r="CJ140" s="44"/>
      <c r="CK140" s="44"/>
      <c r="CL140" s="44"/>
      <c r="CM140" s="44"/>
      <c r="CN140" s="44"/>
      <c r="CO140" s="44"/>
      <c r="CP140" s="44"/>
      <c r="CQ140" s="44"/>
      <c r="CR140" s="44"/>
      <c r="CS140" s="44"/>
      <c r="CT140" s="44"/>
      <c r="CU140" s="44"/>
      <c r="CV140" s="44"/>
      <c r="CW140" s="44"/>
      <c r="CX140" s="44"/>
      <c r="CY140" s="44"/>
      <c r="CZ140" s="44"/>
      <c r="DA140" s="44"/>
      <c r="DB140" s="44"/>
      <c r="DC140" s="44"/>
      <c r="DD140" s="44"/>
      <c r="DE140" s="417" t="s">
        <v>762</v>
      </c>
      <c r="DF140" s="313" t="s">
        <v>767</v>
      </c>
      <c r="DG140" s="35"/>
      <c r="DH140" s="86"/>
      <c r="DI140" s="86"/>
      <c r="DJ140" s="86"/>
      <c r="DK140" s="934"/>
      <c r="DL140" s="95"/>
      <c r="DM140" s="95"/>
      <c r="DN140" s="95"/>
      <c r="DO140" s="86"/>
      <c r="DP140" s="934"/>
      <c r="DQ140" s="934"/>
      <c r="DR140" s="934"/>
      <c r="DS140" s="934"/>
    </row>
    <row r="142" spans="1:123" ht="14" thickBot="1" x14ac:dyDescent="0.2">
      <c r="B142" s="1" t="s">
        <v>352</v>
      </c>
      <c r="C142" s="13" t="s">
        <v>95</v>
      </c>
      <c r="D142" s="13" t="s">
        <v>96</v>
      </c>
      <c r="E142" s="84" t="s">
        <v>297</v>
      </c>
      <c r="F142" s="84" t="s">
        <v>714</v>
      </c>
      <c r="G142" s="84"/>
      <c r="K142" s="305" t="s">
        <v>18</v>
      </c>
      <c r="O142" s="2" t="s">
        <v>18</v>
      </c>
      <c r="AY142" s="477" t="s">
        <v>18</v>
      </c>
      <c r="BR142" s="2" t="s">
        <v>18</v>
      </c>
      <c r="CB142" s="2" t="s">
        <v>18</v>
      </c>
      <c r="CE142" s="2" t="s">
        <v>18</v>
      </c>
    </row>
    <row r="143" spans="1:123" x14ac:dyDescent="0.15">
      <c r="A143" s="137"/>
      <c r="B143" s="48" t="s">
        <v>126</v>
      </c>
      <c r="C143" s="479">
        <f>+AA139</f>
        <v>137751.73000000001</v>
      </c>
      <c r="D143" s="105">
        <f>+(C143*0.3048)</f>
        <v>41986.727304000007</v>
      </c>
      <c r="E143" s="106">
        <f>+D143/D162</f>
        <v>0.78753323391387098</v>
      </c>
      <c r="F143" s="87"/>
      <c r="G143" s="83"/>
      <c r="J143" s="7" t="s">
        <v>18</v>
      </c>
      <c r="K143" s="481" t="s">
        <v>18</v>
      </c>
      <c r="AG143" s="2" t="s">
        <v>18</v>
      </c>
      <c r="AQ143" s="2" t="s">
        <v>18</v>
      </c>
      <c r="BH143" s="2" t="s">
        <v>18</v>
      </c>
      <c r="BK143" s="2"/>
      <c r="BY143" s="2" t="s">
        <v>18</v>
      </c>
      <c r="DO143" s="859" t="s">
        <v>18</v>
      </c>
    </row>
    <row r="144" spans="1:123" x14ac:dyDescent="0.15">
      <c r="B144" s="107" t="s">
        <v>269</v>
      </c>
      <c r="C144" s="108">
        <f>+AQ139</f>
        <v>950</v>
      </c>
      <c r="D144" s="109">
        <f>+(C144*0.3048)</f>
        <v>289.56</v>
      </c>
      <c r="E144" s="737">
        <f>+D144/D162</f>
        <v>5.4311954718694079E-3</v>
      </c>
      <c r="F144" s="788">
        <v>5.4311954718694079E-3</v>
      </c>
      <c r="G144" s="136"/>
      <c r="J144" s="7" t="s">
        <v>18</v>
      </c>
      <c r="K144" s="481" t="s">
        <v>18</v>
      </c>
      <c r="AJ144" s="2"/>
      <c r="BG144" s="2" t="s">
        <v>18</v>
      </c>
      <c r="BZ144" t="s">
        <v>18</v>
      </c>
      <c r="CC144" s="2" t="s">
        <v>18</v>
      </c>
      <c r="CD144" s="2" t="s">
        <v>18</v>
      </c>
      <c r="DD144" s="2" t="s">
        <v>18</v>
      </c>
    </row>
    <row r="145" spans="1:121" x14ac:dyDescent="0.15">
      <c r="B145" s="107" t="s">
        <v>270</v>
      </c>
      <c r="C145" s="108">
        <f>+C143-C144</f>
        <v>136801.73000000001</v>
      </c>
      <c r="D145" s="109">
        <f>+(C145*0.3048)</f>
        <v>41697.167304000002</v>
      </c>
      <c r="E145" s="737">
        <f>+D145/D162</f>
        <v>0.78210203844200143</v>
      </c>
      <c r="F145" s="788">
        <v>0.78210203844200143</v>
      </c>
      <c r="G145" s="136"/>
      <c r="J145" s="7" t="s">
        <v>18</v>
      </c>
      <c r="K145" s="481" t="s">
        <v>18</v>
      </c>
      <c r="O145" s="2" t="s">
        <v>18</v>
      </c>
      <c r="R145" s="2" t="s">
        <v>18</v>
      </c>
      <c r="AK145" s="2" t="s">
        <v>18</v>
      </c>
      <c r="AR145" s="2" t="s">
        <v>18</v>
      </c>
      <c r="BE145" t="s">
        <v>18</v>
      </c>
      <c r="BZ145" s="2" t="s">
        <v>18</v>
      </c>
      <c r="DE145" s="2"/>
      <c r="DQ145" s="859" t="s">
        <v>18</v>
      </c>
    </row>
    <row r="146" spans="1:121" x14ac:dyDescent="0.15">
      <c r="B146" s="107" t="s">
        <v>281</v>
      </c>
      <c r="C146" s="111">
        <f>+BT138</f>
        <v>4.5999999999999999E-3</v>
      </c>
      <c r="D146" s="111">
        <f>+BT138</f>
        <v>4.5999999999999999E-3</v>
      </c>
      <c r="E146" s="112"/>
      <c r="F146" s="789"/>
      <c r="G146" s="136"/>
      <c r="J146" s="7"/>
      <c r="K146" s="481"/>
      <c r="O146" s="2" t="s">
        <v>18</v>
      </c>
      <c r="R146" s="2" t="s">
        <v>18</v>
      </c>
      <c r="AR146" s="2" t="s">
        <v>18</v>
      </c>
      <c r="BH146" s="2"/>
      <c r="BT146" s="2" t="s">
        <v>18</v>
      </c>
    </row>
    <row r="147" spans="1:121" x14ac:dyDescent="0.15">
      <c r="B147" s="107" t="s">
        <v>278</v>
      </c>
      <c r="C147" s="108">
        <f>+C146*C145</f>
        <v>629.287958</v>
      </c>
      <c r="D147" s="109">
        <f>+(C147*0.3048)</f>
        <v>191.8069695984</v>
      </c>
      <c r="E147" s="110">
        <f>+D147/D162</f>
        <v>3.5976693768332065E-3</v>
      </c>
      <c r="F147" s="789"/>
      <c r="G147" s="136"/>
      <c r="I147" s="234" t="s">
        <v>18</v>
      </c>
      <c r="J147" s="7"/>
      <c r="K147" s="481" t="s">
        <v>18</v>
      </c>
      <c r="P147" s="2" t="s">
        <v>18</v>
      </c>
      <c r="BK147" s="2"/>
      <c r="BL147" s="2" t="s">
        <v>18</v>
      </c>
      <c r="BN147" s="2" t="s">
        <v>18</v>
      </c>
    </row>
    <row r="148" spans="1:121" x14ac:dyDescent="0.15">
      <c r="B148" s="107" t="s">
        <v>273</v>
      </c>
      <c r="C148" s="113">
        <f>+CS139</f>
        <v>0</v>
      </c>
      <c r="D148" s="113">
        <f>+CT139</f>
        <v>0</v>
      </c>
      <c r="E148" s="110">
        <f>+D148/D162</f>
        <v>0</v>
      </c>
      <c r="F148" s="789"/>
      <c r="G148" s="136"/>
      <c r="I148" s="2" t="s">
        <v>18</v>
      </c>
      <c r="J148" s="7"/>
      <c r="K148" s="481"/>
    </row>
    <row r="149" spans="1:121" x14ac:dyDescent="0.15">
      <c r="B149" s="107" t="s">
        <v>272</v>
      </c>
      <c r="C149" s="114">
        <f>1-C146</f>
        <v>0.99539999999999995</v>
      </c>
      <c r="D149" s="114">
        <f>1-D146</f>
        <v>0.99539999999999995</v>
      </c>
      <c r="E149" s="112"/>
      <c r="F149" s="789"/>
      <c r="G149" s="136"/>
      <c r="I149" s="2" t="s">
        <v>18</v>
      </c>
      <c r="J149" s="7"/>
      <c r="K149" s="481" t="s">
        <v>18</v>
      </c>
      <c r="Q149" s="2" t="s">
        <v>18</v>
      </c>
    </row>
    <row r="150" spans="1:121" x14ac:dyDescent="0.15">
      <c r="B150" s="107" t="s">
        <v>271</v>
      </c>
      <c r="C150" s="109">
        <f>+C145*C149</f>
        <v>136172.44204200001</v>
      </c>
      <c r="D150" s="115">
        <f>+(C150*0.3048)</f>
        <v>41505.360334401608</v>
      </c>
      <c r="E150" s="116">
        <f>+D150/D162</f>
        <v>0.7785043690651684</v>
      </c>
      <c r="F150" s="789"/>
      <c r="G150" s="136"/>
      <c r="J150" s="7"/>
      <c r="K150" s="481"/>
    </row>
    <row r="151" spans="1:121" x14ac:dyDescent="0.15">
      <c r="B151" s="91" t="s">
        <v>273</v>
      </c>
      <c r="C151" s="109">
        <f>+CG138-CW137</f>
        <v>12876.199999999999</v>
      </c>
      <c r="D151" s="109">
        <f>+(C151*0.3048)</f>
        <v>3924.6657599999999</v>
      </c>
      <c r="E151" s="110">
        <f>+D151/D162</f>
        <v>7.3613851720931434E-2</v>
      </c>
      <c r="F151" s="789"/>
      <c r="G151" s="136"/>
      <c r="J151" s="7"/>
      <c r="K151" s="481" t="s">
        <v>18</v>
      </c>
    </row>
    <row r="152" spans="1:121" x14ac:dyDescent="0.15">
      <c r="B152" s="107" t="s">
        <v>282</v>
      </c>
      <c r="C152" s="111">
        <f>+BU138</f>
        <v>3.5000000000000001E-3</v>
      </c>
      <c r="D152" s="111">
        <f>+BU138</f>
        <v>3.5000000000000001E-3</v>
      </c>
      <c r="E152" s="112"/>
      <c r="F152" s="789"/>
      <c r="G152" s="136"/>
      <c r="H152" s="2" t="s">
        <v>18</v>
      </c>
      <c r="J152" s="7"/>
      <c r="K152" s="481" t="s">
        <v>18</v>
      </c>
    </row>
    <row r="153" spans="1:121" x14ac:dyDescent="0.15">
      <c r="B153" s="91" t="s">
        <v>724</v>
      </c>
      <c r="C153" s="478">
        <f>+C145*C152*0.47892</f>
        <v>229.30979586060005</v>
      </c>
      <c r="D153" s="109">
        <f>+(C153*0.3048)</f>
        <v>69.893625778310891</v>
      </c>
      <c r="E153" s="110">
        <f>+D153/D162</f>
        <v>1.3109750788772518E-3</v>
      </c>
      <c r="F153" s="789" t="s">
        <v>18</v>
      </c>
      <c r="G153" s="136"/>
      <c r="J153" s="7"/>
      <c r="K153" s="481" t="s">
        <v>18</v>
      </c>
    </row>
    <row r="154" spans="1:121" x14ac:dyDescent="0.15">
      <c r="B154" s="107" t="s">
        <v>274</v>
      </c>
      <c r="C154" s="109">
        <f>+C150-C151</f>
        <v>123296.24204200001</v>
      </c>
      <c r="D154" s="109">
        <f>+(C154*0.3048)</f>
        <v>37580.694574401605</v>
      </c>
      <c r="E154" s="110">
        <f>+D154/D162</f>
        <v>0.7048905173442368</v>
      </c>
      <c r="F154" s="789"/>
      <c r="G154" s="136"/>
      <c r="J154" s="7" t="s">
        <v>18</v>
      </c>
      <c r="K154" s="481"/>
    </row>
    <row r="155" spans="1:121" x14ac:dyDescent="0.15">
      <c r="A155" s="8"/>
      <c r="B155" s="107" t="s">
        <v>275</v>
      </c>
      <c r="C155" s="109">
        <f>+K138+CW137</f>
        <v>20239.765810593188</v>
      </c>
      <c r="D155" s="109">
        <f>+(C155*0.3048)</f>
        <v>6169.0806190688036</v>
      </c>
      <c r="E155" s="737">
        <f>+C155/C162</f>
        <v>0.11571170991809578</v>
      </c>
      <c r="F155" s="788">
        <v>0.11571170991809578</v>
      </c>
      <c r="G155" s="136"/>
      <c r="J155" s="7" t="s">
        <v>18</v>
      </c>
      <c r="K155" s="481"/>
      <c r="BH155" t="s">
        <v>18</v>
      </c>
    </row>
    <row r="156" spans="1:121" x14ac:dyDescent="0.15">
      <c r="B156" s="107" t="s">
        <v>276</v>
      </c>
      <c r="C156" s="109">
        <f>+C151+C155</f>
        <v>33115.965810593189</v>
      </c>
      <c r="D156" s="109">
        <f t="shared" ref="D156:D164" si="22">+(C156*0.3048)</f>
        <v>10093.746379068805</v>
      </c>
      <c r="E156" s="110">
        <f>+D156/D162</f>
        <v>0.18932556163902725</v>
      </c>
      <c r="F156" s="789"/>
      <c r="G156" s="233" t="s">
        <v>18</v>
      </c>
      <c r="J156" s="7" t="s">
        <v>18</v>
      </c>
      <c r="K156" s="481"/>
      <c r="BH156" s="2" t="s">
        <v>18</v>
      </c>
      <c r="CO156" t="s">
        <v>18</v>
      </c>
    </row>
    <row r="157" spans="1:121" x14ac:dyDescent="0.15">
      <c r="A157" s="40"/>
      <c r="B157" s="107" t="s">
        <v>283</v>
      </c>
      <c r="C157" s="84">
        <f>+AW138</f>
        <v>3150</v>
      </c>
      <c r="D157" s="109">
        <f t="shared" si="22"/>
        <v>960.12</v>
      </c>
      <c r="E157" s="110">
        <f>+D157/D162</f>
        <v>1.8008700775145933E-2</v>
      </c>
      <c r="F157" s="788">
        <v>1.8008700775145933E-2</v>
      </c>
      <c r="G157" s="136"/>
      <c r="I157" s="2" t="s">
        <v>18</v>
      </c>
      <c r="J157" s="7" t="s">
        <v>18</v>
      </c>
      <c r="K157" s="481"/>
      <c r="BG157" s="2" t="s">
        <v>18</v>
      </c>
    </row>
    <row r="158" spans="1:121" x14ac:dyDescent="0.15">
      <c r="B158" s="107" t="s">
        <v>277</v>
      </c>
      <c r="C158" s="84">
        <f>+C157+C153</f>
        <v>3379.3097958605999</v>
      </c>
      <c r="D158" s="109">
        <f t="shared" si="22"/>
        <v>1030.0136257783108</v>
      </c>
      <c r="E158" s="110">
        <f>+D158/D162</f>
        <v>1.9319675854023183E-2</v>
      </c>
      <c r="F158" s="789"/>
      <c r="G158" s="233" t="s">
        <v>18</v>
      </c>
      <c r="J158" s="7" t="s">
        <v>18</v>
      </c>
      <c r="K158" s="481" t="s">
        <v>18</v>
      </c>
      <c r="O158" t="s">
        <v>18</v>
      </c>
      <c r="CW158" s="2" t="s">
        <v>18</v>
      </c>
      <c r="DC158" t="s">
        <v>18</v>
      </c>
    </row>
    <row r="159" spans="1:121" x14ac:dyDescent="0.15">
      <c r="B159" s="107" t="s">
        <v>284</v>
      </c>
      <c r="C159" s="108">
        <f>++C155+C157</f>
        <v>23389.765810593188</v>
      </c>
      <c r="D159" s="109">
        <f t="shared" si="22"/>
        <v>7129.2006190688044</v>
      </c>
      <c r="E159" s="110">
        <f>+D159/D162</f>
        <v>0.1337204106932417</v>
      </c>
      <c r="F159" s="789"/>
      <c r="G159" s="136"/>
      <c r="H159" s="2" t="s">
        <v>18</v>
      </c>
      <c r="J159" s="7" t="s">
        <v>18</v>
      </c>
      <c r="K159" s="481"/>
      <c r="CU159" s="2" t="s">
        <v>18</v>
      </c>
      <c r="DC159" s="2" t="s">
        <v>18</v>
      </c>
    </row>
    <row r="160" spans="1:121" x14ac:dyDescent="0.15">
      <c r="B160" s="107" t="s">
        <v>285</v>
      </c>
      <c r="C160" s="108">
        <f>++C156+C158</f>
        <v>36495.27560645379</v>
      </c>
      <c r="D160" s="109">
        <f t="shared" si="22"/>
        <v>11123.760004847116</v>
      </c>
      <c r="E160" s="110">
        <f>+D160/D162</f>
        <v>0.20864523749305042</v>
      </c>
      <c r="F160" s="789"/>
      <c r="G160" s="233" t="s">
        <v>18</v>
      </c>
      <c r="J160" s="1" t="s">
        <v>18</v>
      </c>
      <c r="K160" s="481" t="s">
        <v>18</v>
      </c>
      <c r="M160" t="s">
        <v>18</v>
      </c>
      <c r="W160" t="s">
        <v>18</v>
      </c>
    </row>
    <row r="161" spans="1:123" x14ac:dyDescent="0.15">
      <c r="A161" s="480"/>
      <c r="B161" s="107" t="s">
        <v>296</v>
      </c>
      <c r="C161" s="117">
        <f>+BM138</f>
        <v>10777.5</v>
      </c>
      <c r="D161" s="109">
        <f t="shared" si="22"/>
        <v>3284.982</v>
      </c>
      <c r="E161" s="737">
        <f>+D161/D162</f>
        <v>6.1615483366392151E-2</v>
      </c>
      <c r="F161" s="788">
        <v>6.1615483366392151E-2</v>
      </c>
      <c r="G161" s="136"/>
      <c r="J161" s="234" t="s">
        <v>18</v>
      </c>
      <c r="K161" s="482" t="s">
        <v>18</v>
      </c>
      <c r="CX161" s="2" t="s">
        <v>18</v>
      </c>
      <c r="DD161" s="2" t="s">
        <v>18</v>
      </c>
    </row>
    <row r="162" spans="1:123" x14ac:dyDescent="0.15">
      <c r="B162" s="107" t="s">
        <v>287</v>
      </c>
      <c r="C162" s="60">
        <f>+U138</f>
        <v>174915.45</v>
      </c>
      <c r="D162" s="109">
        <f t="shared" si="22"/>
        <v>53314.22916000001</v>
      </c>
      <c r="E162" s="112"/>
      <c r="F162" s="789"/>
      <c r="G162" s="136"/>
      <c r="J162" s="234" t="s">
        <v>18</v>
      </c>
      <c r="K162" s="482" t="s">
        <v>18</v>
      </c>
      <c r="AH162" t="s">
        <v>18</v>
      </c>
    </row>
    <row r="163" spans="1:123" x14ac:dyDescent="0.15">
      <c r="A163" s="137"/>
      <c r="B163" s="107" t="s">
        <v>300</v>
      </c>
      <c r="C163" s="60">
        <f>+(C162-C143-C161-C155-C157)</f>
        <v>2996.4541894068134</v>
      </c>
      <c r="D163" s="109">
        <f t="shared" si="22"/>
        <v>913.31923693119677</v>
      </c>
      <c r="E163" s="737">
        <f>+D163/D162</f>
        <v>1.7130872026495162E-2</v>
      </c>
      <c r="F163" s="788">
        <v>1.7130872026495162E-2</v>
      </c>
      <c r="G163" s="136"/>
      <c r="J163" s="234" t="s">
        <v>18</v>
      </c>
      <c r="K163" s="234" t="s">
        <v>18</v>
      </c>
      <c r="CW163" s="2" t="s">
        <v>18</v>
      </c>
      <c r="DM163" s="859" t="s">
        <v>18</v>
      </c>
    </row>
    <row r="164" spans="1:123" ht="14" thickBot="1" x14ac:dyDescent="0.2">
      <c r="A164" s="5"/>
      <c r="B164" s="89" t="s">
        <v>49</v>
      </c>
      <c r="C164" s="118">
        <f>+BV138</f>
        <v>14327</v>
      </c>
      <c r="D164" s="119">
        <f t="shared" si="22"/>
        <v>4366.8696</v>
      </c>
      <c r="E164" s="120">
        <f>+D164/D162</f>
        <v>8.1908144763655794E-2</v>
      </c>
      <c r="F164" s="80"/>
      <c r="G164" s="136"/>
      <c r="CW164" s="2" t="s">
        <v>18</v>
      </c>
      <c r="DN164" s="859" t="s">
        <v>18</v>
      </c>
    </row>
    <row r="165" spans="1:123" ht="14" thickBot="1" x14ac:dyDescent="0.2">
      <c r="A165" s="5"/>
      <c r="B165" s="42" t="s">
        <v>587</v>
      </c>
      <c r="C165" s="714">
        <f>+DC136/BK136</f>
        <v>0.7306350581962987</v>
      </c>
      <c r="D165" s="714">
        <f>+DC136/BK136</f>
        <v>0.7306350581962987</v>
      </c>
      <c r="E165" s="716"/>
      <c r="F165" s="82"/>
      <c r="G165" s="35"/>
      <c r="H165" s="2" t="s">
        <v>18</v>
      </c>
      <c r="CW165" s="2"/>
      <c r="DG165" s="2" t="s">
        <v>18</v>
      </c>
      <c r="DR165" s="859" t="s">
        <v>18</v>
      </c>
    </row>
    <row r="166" spans="1:123" ht="14" thickBot="1" x14ac:dyDescent="0.2">
      <c r="B166" s="48" t="s">
        <v>715</v>
      </c>
      <c r="C166" s="50" t="s">
        <v>18</v>
      </c>
      <c r="D166" s="78"/>
      <c r="E166" s="78" t="s">
        <v>18</v>
      </c>
      <c r="F166" s="732">
        <f>SUM(F144:F164)</f>
        <v>0.99999999999999989</v>
      </c>
      <c r="G166" s="719" t="s">
        <v>18</v>
      </c>
      <c r="DD166" s="2" t="s">
        <v>18</v>
      </c>
      <c r="DR166" s="859" t="s">
        <v>18</v>
      </c>
    </row>
    <row r="167" spans="1:123" x14ac:dyDescent="0.15">
      <c r="B167" s="264" t="s">
        <v>705</v>
      </c>
      <c r="C167" s="717" t="s">
        <v>294</v>
      </c>
      <c r="D167" s="78"/>
      <c r="E167" s="131" t="s">
        <v>799</v>
      </c>
      <c r="F167" s="754" t="s">
        <v>726</v>
      </c>
      <c r="G167" s="744"/>
      <c r="J167" s="2" t="s">
        <v>18</v>
      </c>
      <c r="K167" s="61"/>
    </row>
    <row r="168" spans="1:123" ht="14" thickBot="1" x14ac:dyDescent="0.2">
      <c r="B168" s="82"/>
      <c r="C168" s="720" t="s">
        <v>295</v>
      </c>
      <c r="D168" s="34"/>
      <c r="E168" s="34"/>
      <c r="F168" s="313" t="s">
        <v>725</v>
      </c>
      <c r="G168" s="35"/>
      <c r="K168" s="185"/>
      <c r="DE168" s="14"/>
      <c r="DF168" s="14"/>
      <c r="DG168" s="14"/>
    </row>
    <row r="169" spans="1:123" ht="14" thickBot="1" x14ac:dyDescent="0.2">
      <c r="A169" s="372"/>
      <c r="B169" s="761"/>
      <c r="C169" s="725"/>
      <c r="D169" s="762"/>
      <c r="E169" s="762"/>
      <c r="F169" s="763" t="s">
        <v>18</v>
      </c>
      <c r="G169" s="764"/>
      <c r="H169" s="730"/>
      <c r="I169" s="730"/>
      <c r="J169" s="730"/>
      <c r="K169" s="525"/>
      <c r="L169" s="525"/>
      <c r="M169" s="525"/>
      <c r="N169" s="525"/>
      <c r="O169" s="525"/>
      <c r="P169" s="525"/>
      <c r="Q169" s="525"/>
      <c r="R169" s="525"/>
      <c r="S169" s="525"/>
      <c r="T169" s="525"/>
      <c r="U169" s="525"/>
      <c r="V169" s="525"/>
      <c r="W169" s="525"/>
      <c r="X169" s="525"/>
      <c r="Y169" s="525"/>
      <c r="Z169" s="525"/>
      <c r="AA169" s="525"/>
      <c r="AB169" s="525"/>
      <c r="AC169" s="729"/>
      <c r="AD169" s="525"/>
      <c r="AE169" s="525"/>
      <c r="AF169" s="525"/>
      <c r="AG169" s="525"/>
      <c r="AH169" s="525"/>
      <c r="AI169" s="525"/>
      <c r="AJ169" s="525"/>
      <c r="AK169" s="525"/>
      <c r="AL169" s="525"/>
      <c r="AM169" s="525"/>
      <c r="AN169" s="525"/>
      <c r="AO169" s="525"/>
      <c r="AP169" s="525"/>
      <c r="AQ169" s="525"/>
      <c r="AR169" s="525"/>
      <c r="AS169" s="525"/>
      <c r="AT169" s="525"/>
      <c r="AU169" s="525"/>
      <c r="AV169" s="525"/>
      <c r="AW169" s="525"/>
      <c r="AX169" s="525"/>
      <c r="AY169" s="525"/>
      <c r="AZ169" s="525"/>
      <c r="BA169" s="525"/>
      <c r="BB169" s="525"/>
      <c r="BC169" s="525"/>
      <c r="BD169" s="525"/>
      <c r="BE169" s="525"/>
      <c r="BF169" s="525"/>
      <c r="BG169" s="525"/>
      <c r="BH169" s="525"/>
      <c r="BI169" s="525"/>
      <c r="BJ169" s="525"/>
      <c r="BK169" s="525"/>
      <c r="BL169" s="525"/>
      <c r="BM169" s="525"/>
      <c r="BN169" s="525"/>
      <c r="BO169" s="525"/>
      <c r="BP169" s="525"/>
      <c r="BQ169" s="525"/>
      <c r="BR169" s="525"/>
      <c r="BS169" s="525"/>
      <c r="BT169" s="525"/>
      <c r="BU169" s="525"/>
      <c r="BV169" s="525"/>
      <c r="BW169" s="525"/>
      <c r="BX169" s="525"/>
      <c r="BY169" s="525"/>
      <c r="BZ169" s="525"/>
      <c r="CA169" s="525"/>
      <c r="CB169" s="525"/>
      <c r="CC169" s="525"/>
      <c r="CD169" s="525"/>
      <c r="CE169" s="525"/>
      <c r="CF169" s="525"/>
      <c r="CG169" s="525"/>
      <c r="CH169" s="525"/>
      <c r="CI169" s="525"/>
      <c r="CJ169" s="525"/>
      <c r="CK169" s="525"/>
      <c r="CL169" s="525"/>
      <c r="CM169" s="525"/>
      <c r="CN169" s="525"/>
      <c r="CO169" s="525"/>
      <c r="CP169" s="525"/>
      <c r="CQ169" s="525"/>
      <c r="CR169" s="525"/>
      <c r="CS169" s="525"/>
      <c r="CT169" s="525"/>
      <c r="CU169" s="525"/>
      <c r="CV169" s="525"/>
      <c r="CW169" s="525"/>
      <c r="CX169" s="525"/>
      <c r="CY169" s="525"/>
      <c r="CZ169" s="525"/>
      <c r="DA169" s="525"/>
      <c r="DB169" s="525"/>
      <c r="DC169" s="525"/>
      <c r="DD169" s="525"/>
      <c r="DE169" s="372"/>
      <c r="DF169" s="257"/>
      <c r="DG169" s="373"/>
      <c r="DH169" s="933"/>
      <c r="DI169" s="933"/>
      <c r="DJ169" s="933"/>
      <c r="DK169" s="937"/>
      <c r="DL169" s="937"/>
      <c r="DM169" s="937"/>
      <c r="DN169" s="937"/>
      <c r="DO169" s="937"/>
      <c r="DP169" s="937"/>
      <c r="DQ169" s="937"/>
      <c r="DR169" s="937"/>
      <c r="DS169" s="937"/>
    </row>
    <row r="170" spans="1:123" x14ac:dyDescent="0.15">
      <c r="A170" s="46" t="s">
        <v>0</v>
      </c>
      <c r="B170" s="48" t="s">
        <v>42</v>
      </c>
      <c r="C170" s="32" t="s">
        <v>46</v>
      </c>
      <c r="D170" s="32" t="s">
        <v>48</v>
      </c>
      <c r="E170" s="32" t="s">
        <v>47</v>
      </c>
      <c r="F170" s="32" t="s">
        <v>48</v>
      </c>
      <c r="G170" s="32" t="s">
        <v>251</v>
      </c>
      <c r="H170" s="32" t="s">
        <v>252</v>
      </c>
      <c r="I170" s="32" t="s">
        <v>251</v>
      </c>
      <c r="J170" s="32" t="s">
        <v>252</v>
      </c>
      <c r="K170" s="32" t="s">
        <v>125</v>
      </c>
      <c r="L170" s="32" t="s">
        <v>125</v>
      </c>
      <c r="M170" s="32" t="s">
        <v>62</v>
      </c>
      <c r="N170" s="32" t="s">
        <v>62</v>
      </c>
      <c r="O170" s="32" t="s">
        <v>127</v>
      </c>
      <c r="P170" s="32" t="s">
        <v>127</v>
      </c>
      <c r="Q170" s="32" t="s">
        <v>44</v>
      </c>
      <c r="R170" s="32" t="s">
        <v>44</v>
      </c>
      <c r="S170" s="32" t="s">
        <v>45</v>
      </c>
      <c r="T170" s="32" t="s">
        <v>45</v>
      </c>
      <c r="U170" s="32" t="s">
        <v>333</v>
      </c>
      <c r="V170" s="32" t="s">
        <v>333</v>
      </c>
      <c r="W170" s="32" t="s">
        <v>44</v>
      </c>
      <c r="X170" s="32" t="s">
        <v>44</v>
      </c>
      <c r="Y170" s="32" t="s">
        <v>267</v>
      </c>
      <c r="Z170" s="32" t="s">
        <v>267</v>
      </c>
      <c r="AA170" s="32" t="s">
        <v>126</v>
      </c>
      <c r="AB170" s="32" t="s">
        <v>126</v>
      </c>
      <c r="AC170" s="32" t="s">
        <v>10</v>
      </c>
      <c r="AD170" s="32" t="s">
        <v>10</v>
      </c>
      <c r="AE170" s="32" t="s">
        <v>817</v>
      </c>
      <c r="AF170" s="32" t="s">
        <v>817</v>
      </c>
      <c r="AG170" s="32" t="s">
        <v>69</v>
      </c>
      <c r="AH170" s="32" t="s">
        <v>69</v>
      </c>
      <c r="AI170" s="32" t="s">
        <v>87</v>
      </c>
      <c r="AJ170" s="32" t="s">
        <v>87</v>
      </c>
      <c r="AK170" s="32" t="s">
        <v>87</v>
      </c>
      <c r="AL170" s="32" t="s">
        <v>87</v>
      </c>
      <c r="AM170" s="32" t="s">
        <v>557</v>
      </c>
      <c r="AN170" s="32" t="s">
        <v>557</v>
      </c>
      <c r="AO170" s="32" t="s">
        <v>557</v>
      </c>
      <c r="AP170" s="32" t="s">
        <v>557</v>
      </c>
      <c r="AQ170" s="32" t="s">
        <v>557</v>
      </c>
      <c r="AR170" s="32" t="s">
        <v>93</v>
      </c>
      <c r="AS170" s="32" t="s">
        <v>293</v>
      </c>
      <c r="AT170" s="32" t="s">
        <v>293</v>
      </c>
      <c r="AU170" s="32" t="s">
        <v>293</v>
      </c>
      <c r="AV170" s="32" t="s">
        <v>293</v>
      </c>
      <c r="AW170" s="32" t="s">
        <v>293</v>
      </c>
      <c r="AX170" s="32" t="s">
        <v>293</v>
      </c>
      <c r="AY170" s="32" t="s">
        <v>323</v>
      </c>
      <c r="AZ170" s="32" t="s">
        <v>323</v>
      </c>
      <c r="BA170" s="32" t="s">
        <v>323</v>
      </c>
      <c r="BB170" s="32" t="s">
        <v>323</v>
      </c>
      <c r="BC170" s="32" t="s">
        <v>323</v>
      </c>
      <c r="BD170" s="32" t="s">
        <v>323</v>
      </c>
      <c r="BE170" s="484" t="s">
        <v>324</v>
      </c>
      <c r="BF170" s="484" t="s">
        <v>324</v>
      </c>
      <c r="BG170" s="263"/>
      <c r="BH170" s="263"/>
      <c r="BI170" s="32" t="s">
        <v>18</v>
      </c>
      <c r="BJ170" s="263"/>
      <c r="BK170" s="32" t="s">
        <v>84</v>
      </c>
      <c r="BL170" s="32" t="s">
        <v>84</v>
      </c>
      <c r="BM170" s="32" t="s">
        <v>84</v>
      </c>
      <c r="BN170" s="32" t="s">
        <v>84</v>
      </c>
      <c r="BO170" s="32" t="s">
        <v>10</v>
      </c>
      <c r="BP170" s="32" t="s">
        <v>817</v>
      </c>
      <c r="BQ170" s="32" t="s">
        <v>69</v>
      </c>
      <c r="BR170" s="32" t="s">
        <v>62</v>
      </c>
      <c r="BS170" s="32" t="s">
        <v>93</v>
      </c>
      <c r="BT170" s="484" t="s">
        <v>291</v>
      </c>
      <c r="BU170" s="484" t="s">
        <v>292</v>
      </c>
      <c r="BV170" s="484" t="s">
        <v>2</v>
      </c>
      <c r="BW170" s="484" t="s">
        <v>2</v>
      </c>
      <c r="BX170" s="32" t="s">
        <v>18</v>
      </c>
      <c r="BY170" s="32" t="s">
        <v>261</v>
      </c>
      <c r="BZ170" s="32" t="s">
        <v>261</v>
      </c>
      <c r="CA170" s="32" t="s">
        <v>266</v>
      </c>
      <c r="CB170" s="32" t="s">
        <v>261</v>
      </c>
      <c r="CC170" s="32" t="s">
        <v>254</v>
      </c>
      <c r="CD170" s="32" t="s">
        <v>254</v>
      </c>
      <c r="CE170" s="32" t="s">
        <v>254</v>
      </c>
      <c r="CF170" s="32" t="s">
        <v>254</v>
      </c>
      <c r="CG170" s="32" t="s">
        <v>254</v>
      </c>
      <c r="CH170" s="32" t="s">
        <v>254</v>
      </c>
      <c r="CI170" s="32" t="s">
        <v>342</v>
      </c>
      <c r="CJ170" s="32" t="s">
        <v>342</v>
      </c>
      <c r="CK170" s="32" t="s">
        <v>342</v>
      </c>
      <c r="CL170" s="32" t="s">
        <v>342</v>
      </c>
      <c r="CM170" s="32" t="s">
        <v>342</v>
      </c>
      <c r="CN170" s="32" t="s">
        <v>342</v>
      </c>
      <c r="CO170" s="484" t="s">
        <v>344</v>
      </c>
      <c r="CP170" s="484" t="s">
        <v>344</v>
      </c>
      <c r="CQ170" s="484" t="s">
        <v>344</v>
      </c>
      <c r="CR170" s="484" t="s">
        <v>344</v>
      </c>
      <c r="CS170" s="484" t="s">
        <v>344</v>
      </c>
      <c r="CT170" s="484" t="s">
        <v>344</v>
      </c>
      <c r="CU170" s="484" t="s">
        <v>348</v>
      </c>
      <c r="CV170" s="484" t="s">
        <v>348</v>
      </c>
      <c r="CW170" s="484" t="s">
        <v>348</v>
      </c>
      <c r="CX170" s="484" t="s">
        <v>348</v>
      </c>
      <c r="CY170" s="758" t="s">
        <v>556</v>
      </c>
      <c r="CZ170" s="758" t="s">
        <v>556</v>
      </c>
      <c r="DA170" s="758" t="s">
        <v>556</v>
      </c>
      <c r="DB170" s="758" t="s">
        <v>556</v>
      </c>
      <c r="DC170" s="484" t="s">
        <v>583</v>
      </c>
      <c r="DD170" s="484" t="s">
        <v>583</v>
      </c>
      <c r="DE170" s="264" t="s">
        <v>229</v>
      </c>
      <c r="DF170" s="484" t="s">
        <v>758</v>
      </c>
      <c r="DG170" s="485" t="s">
        <v>758</v>
      </c>
      <c r="DH170" s="48" t="s">
        <v>921</v>
      </c>
      <c r="DI170" s="48" t="s">
        <v>936</v>
      </c>
      <c r="DJ170" s="935" t="s">
        <v>938</v>
      </c>
      <c r="DK170" s="939" t="s">
        <v>922</v>
      </c>
      <c r="DL170" s="48" t="s">
        <v>936</v>
      </c>
      <c r="DM170" s="935" t="s">
        <v>938</v>
      </c>
      <c r="DN170" s="46" t="s">
        <v>925</v>
      </c>
      <c r="DO170" s="48" t="s">
        <v>936</v>
      </c>
      <c r="DP170" s="935" t="s">
        <v>938</v>
      </c>
      <c r="DQ170" s="147" t="s">
        <v>888</v>
      </c>
      <c r="DR170" s="147" t="s">
        <v>938</v>
      </c>
      <c r="DS170" s="147" t="s">
        <v>938</v>
      </c>
    </row>
    <row r="171" spans="1:123" ht="14" thickBot="1" x14ac:dyDescent="0.2">
      <c r="A171" s="269" t="s">
        <v>640</v>
      </c>
      <c r="B171" s="417"/>
      <c r="C171" s="33" t="s">
        <v>39</v>
      </c>
      <c r="D171" s="33" t="s">
        <v>39</v>
      </c>
      <c r="E171" s="33" t="s">
        <v>43</v>
      </c>
      <c r="F171" s="33" t="s">
        <v>43</v>
      </c>
      <c r="G171" s="33" t="s">
        <v>39</v>
      </c>
      <c r="H171" s="33" t="s">
        <v>39</v>
      </c>
      <c r="I171" s="33" t="s">
        <v>43</v>
      </c>
      <c r="J171" s="33" t="s">
        <v>43</v>
      </c>
      <c r="K171" s="33" t="s">
        <v>95</v>
      </c>
      <c r="L171" s="33" t="s">
        <v>96</v>
      </c>
      <c r="M171" s="33" t="s">
        <v>88</v>
      </c>
      <c r="N171" s="33" t="s">
        <v>89</v>
      </c>
      <c r="O171" s="33" t="s">
        <v>334</v>
      </c>
      <c r="P171" s="33" t="s">
        <v>335</v>
      </c>
      <c r="Q171" s="33" t="s">
        <v>63</v>
      </c>
      <c r="R171" s="33" t="s">
        <v>66</v>
      </c>
      <c r="S171" s="33" t="s">
        <v>64</v>
      </c>
      <c r="T171" s="33" t="s">
        <v>65</v>
      </c>
      <c r="U171" s="33" t="s">
        <v>64</v>
      </c>
      <c r="V171" s="33" t="s">
        <v>65</v>
      </c>
      <c r="W171" s="33" t="s">
        <v>98</v>
      </c>
      <c r="X171" s="33" t="s">
        <v>99</v>
      </c>
      <c r="Y171" s="33" t="s">
        <v>128</v>
      </c>
      <c r="Z171" s="33" t="s">
        <v>129</v>
      </c>
      <c r="AA171" s="33" t="s">
        <v>95</v>
      </c>
      <c r="AB171" s="33" t="s">
        <v>96</v>
      </c>
      <c r="AC171" s="33" t="s">
        <v>83</v>
      </c>
      <c r="AD171" s="33" t="s">
        <v>82</v>
      </c>
      <c r="AE171" s="33" t="s">
        <v>83</v>
      </c>
      <c r="AF171" s="33" t="s">
        <v>82</v>
      </c>
      <c r="AG171" s="33" t="s">
        <v>70</v>
      </c>
      <c r="AH171" s="33" t="s">
        <v>71</v>
      </c>
      <c r="AI171" s="33" t="s">
        <v>90</v>
      </c>
      <c r="AJ171" s="33" t="s">
        <v>91</v>
      </c>
      <c r="AK171" s="33" t="s">
        <v>95</v>
      </c>
      <c r="AL171" s="33" t="s">
        <v>96</v>
      </c>
      <c r="AM171" s="33" t="s">
        <v>564</v>
      </c>
      <c r="AN171" s="33" t="s">
        <v>565</v>
      </c>
      <c r="AO171" s="33" t="s">
        <v>338</v>
      </c>
      <c r="AP171" s="33" t="s">
        <v>339</v>
      </c>
      <c r="AQ171" s="33" t="s">
        <v>340</v>
      </c>
      <c r="AR171" s="33" t="s">
        <v>341</v>
      </c>
      <c r="AS171" s="33" t="s">
        <v>88</v>
      </c>
      <c r="AT171" s="33" t="s">
        <v>89</v>
      </c>
      <c r="AU171" s="33" t="s">
        <v>90</v>
      </c>
      <c r="AV171" s="33" t="s">
        <v>91</v>
      </c>
      <c r="AW171" s="33" t="s">
        <v>95</v>
      </c>
      <c r="AX171" s="33" t="s">
        <v>96</v>
      </c>
      <c r="AY171" s="33" t="s">
        <v>88</v>
      </c>
      <c r="AZ171" s="33" t="s">
        <v>89</v>
      </c>
      <c r="BA171" s="33" t="s">
        <v>90</v>
      </c>
      <c r="BB171" s="33" t="s">
        <v>91</v>
      </c>
      <c r="BC171" s="33" t="s">
        <v>95</v>
      </c>
      <c r="BD171" s="33" t="s">
        <v>96</v>
      </c>
      <c r="BE171" s="581" t="s">
        <v>325</v>
      </c>
      <c r="BF171" s="581" t="s">
        <v>326</v>
      </c>
      <c r="BG171" s="33" t="s">
        <v>75</v>
      </c>
      <c r="BH171" s="33" t="s">
        <v>72</v>
      </c>
      <c r="BI171" s="33" t="s">
        <v>73</v>
      </c>
      <c r="BJ171" s="33" t="s">
        <v>74</v>
      </c>
      <c r="BK171" s="33" t="s">
        <v>73</v>
      </c>
      <c r="BL171" s="33" t="s">
        <v>85</v>
      </c>
      <c r="BM171" s="33" t="s">
        <v>288</v>
      </c>
      <c r="BN171" s="33" t="s">
        <v>289</v>
      </c>
      <c r="BO171" s="33" t="s">
        <v>86</v>
      </c>
      <c r="BP171" s="13" t="s">
        <v>86</v>
      </c>
      <c r="BQ171" s="33" t="s">
        <v>92</v>
      </c>
      <c r="BR171" s="33" t="s">
        <v>94</v>
      </c>
      <c r="BS171" s="33" t="s">
        <v>94</v>
      </c>
      <c r="BT171" s="581" t="s">
        <v>290</v>
      </c>
      <c r="BU171" s="581" t="s">
        <v>290</v>
      </c>
      <c r="BV171" s="581" t="s">
        <v>298</v>
      </c>
      <c r="BW171" s="581" t="s">
        <v>299</v>
      </c>
      <c r="BX171" s="33" t="s">
        <v>563</v>
      </c>
      <c r="BY171" s="33" t="s">
        <v>256</v>
      </c>
      <c r="BZ171" s="33" t="s">
        <v>257</v>
      </c>
      <c r="CA171" s="33" t="s">
        <v>258</v>
      </c>
      <c r="CB171" s="33" t="s">
        <v>259</v>
      </c>
      <c r="CC171" s="33" t="s">
        <v>260</v>
      </c>
      <c r="CD171" s="33" t="s">
        <v>327</v>
      </c>
      <c r="CE171" s="33" t="s">
        <v>264</v>
      </c>
      <c r="CF171" s="33" t="s">
        <v>265</v>
      </c>
      <c r="CG171" s="33" t="s">
        <v>262</v>
      </c>
      <c r="CH171" s="33" t="s">
        <v>263</v>
      </c>
      <c r="CI171" s="33" t="s">
        <v>88</v>
      </c>
      <c r="CJ171" s="33" t="s">
        <v>343</v>
      </c>
      <c r="CK171" s="33" t="s">
        <v>90</v>
      </c>
      <c r="CL171" s="33" t="s">
        <v>91</v>
      </c>
      <c r="CM171" s="33" t="s">
        <v>95</v>
      </c>
      <c r="CN171" s="33" t="s">
        <v>96</v>
      </c>
      <c r="CO171" s="581" t="s">
        <v>88</v>
      </c>
      <c r="CP171" s="581" t="s">
        <v>89</v>
      </c>
      <c r="CQ171" s="581" t="s">
        <v>90</v>
      </c>
      <c r="CR171" s="581" t="s">
        <v>346</v>
      </c>
      <c r="CS171" s="581" t="s">
        <v>347</v>
      </c>
      <c r="CT171" s="581" t="s">
        <v>345</v>
      </c>
      <c r="CU171" s="581" t="s">
        <v>349</v>
      </c>
      <c r="CV171" s="581" t="s">
        <v>350</v>
      </c>
      <c r="CW171" s="581" t="s">
        <v>579</v>
      </c>
      <c r="CX171" s="581" t="s">
        <v>580</v>
      </c>
      <c r="CY171" s="759" t="s">
        <v>575</v>
      </c>
      <c r="CZ171" s="759" t="s">
        <v>574</v>
      </c>
      <c r="DA171" s="759" t="s">
        <v>576</v>
      </c>
      <c r="DB171" s="759" t="s">
        <v>577</v>
      </c>
      <c r="DC171" s="581" t="s">
        <v>584</v>
      </c>
      <c r="DD171" s="581" t="s">
        <v>585</v>
      </c>
      <c r="DE171" s="465" t="s">
        <v>757</v>
      </c>
      <c r="DF171" s="581" t="s">
        <v>760</v>
      </c>
      <c r="DG171" s="582" t="s">
        <v>759</v>
      </c>
      <c r="DH171" s="107" t="s">
        <v>10</v>
      </c>
      <c r="DI171" s="89" t="s">
        <v>937</v>
      </c>
      <c r="DJ171" s="936" t="s">
        <v>939</v>
      </c>
      <c r="DK171" s="943" t="s">
        <v>10</v>
      </c>
      <c r="DL171" s="89" t="s">
        <v>937</v>
      </c>
      <c r="DM171" s="936" t="s">
        <v>939</v>
      </c>
      <c r="DN171" s="47" t="s">
        <v>10</v>
      </c>
      <c r="DO171" s="89" t="s">
        <v>937</v>
      </c>
      <c r="DP171" s="936" t="s">
        <v>939</v>
      </c>
      <c r="DQ171" s="936" t="s">
        <v>951</v>
      </c>
      <c r="DR171" s="936" t="s">
        <v>937</v>
      </c>
      <c r="DS171" s="936" t="s">
        <v>939</v>
      </c>
    </row>
    <row r="172" spans="1:123" x14ac:dyDescent="0.15">
      <c r="A172" s="94"/>
      <c r="B172" s="264" t="s">
        <v>530</v>
      </c>
      <c r="C172" s="50">
        <v>22.5</v>
      </c>
      <c r="D172" s="50">
        <f>+(C172*0.3048)</f>
        <v>6.8580000000000005</v>
      </c>
      <c r="E172" s="50">
        <v>22.5</v>
      </c>
      <c r="F172" s="50">
        <f>+(E172*0.3048)</f>
        <v>6.8580000000000005</v>
      </c>
      <c r="G172" s="50">
        <v>306.89999999999998</v>
      </c>
      <c r="H172" s="50">
        <f>+(G172*0.3048)</f>
        <v>93.543120000000002</v>
      </c>
      <c r="I172" s="50">
        <v>455.3</v>
      </c>
      <c r="J172" s="50">
        <f>+(I172*0.3048)</f>
        <v>138.77544</v>
      </c>
      <c r="K172" s="78">
        <f>+(C172*G172)+(D172*I172)</f>
        <v>10027.697399999999</v>
      </c>
      <c r="L172" s="50">
        <f>+(K172*0.3048)</f>
        <v>3056.4421675199997</v>
      </c>
      <c r="M172" s="50">
        <v>0</v>
      </c>
      <c r="N172" s="50">
        <v>0</v>
      </c>
      <c r="O172" s="50">
        <v>34</v>
      </c>
      <c r="P172" s="79">
        <f>+O172*0.3048</f>
        <v>10.363200000000001</v>
      </c>
      <c r="Q172" s="50">
        <v>34</v>
      </c>
      <c r="R172" s="79">
        <f>+Q172*0.3048</f>
        <v>10.363200000000001</v>
      </c>
      <c r="S172" s="50">
        <v>79</v>
      </c>
      <c r="T172" s="79">
        <f>+S172*0.3048</f>
        <v>24.0792</v>
      </c>
      <c r="U172" s="131">
        <f>+S172*BI172</f>
        <v>32453.200000000001</v>
      </c>
      <c r="V172" s="78">
        <f>+U172*0.3048</f>
        <v>9891.7353600000006</v>
      </c>
      <c r="W172" s="78">
        <f>+Q172*BI172</f>
        <v>13967.2</v>
      </c>
      <c r="X172" s="79">
        <f>+W172*0.3048</f>
        <v>4257.2025600000006</v>
      </c>
      <c r="Y172" s="50">
        <v>0</v>
      </c>
      <c r="Z172" s="50">
        <v>0</v>
      </c>
      <c r="AA172" s="78">
        <f>+W172-AK172</f>
        <v>13283.2</v>
      </c>
      <c r="AB172" s="79">
        <f>+AA172*0.3048</f>
        <v>4048.7193600000005</v>
      </c>
      <c r="AC172" s="50">
        <v>14</v>
      </c>
      <c r="AD172" s="50">
        <v>4.2672000000000008</v>
      </c>
      <c r="AE172" s="50"/>
      <c r="AF172" s="50"/>
      <c r="AG172" s="50" t="s">
        <v>18</v>
      </c>
      <c r="AH172" s="50" t="s">
        <v>18</v>
      </c>
      <c r="AI172" s="50">
        <v>76</v>
      </c>
      <c r="AJ172" s="50">
        <f>+AI172*0.3048</f>
        <v>23.1648</v>
      </c>
      <c r="AK172" s="50">
        <f>9*AI172</f>
        <v>684</v>
      </c>
      <c r="AL172" s="50">
        <f>+AK172*0.3048</f>
        <v>208.48320000000001</v>
      </c>
      <c r="AM172" s="50">
        <v>0</v>
      </c>
      <c r="AN172" s="50">
        <v>0</v>
      </c>
      <c r="AO172" s="50">
        <v>0</v>
      </c>
      <c r="AP172" s="50">
        <v>0</v>
      </c>
      <c r="AQ172" s="50">
        <v>0</v>
      </c>
      <c r="AR172" s="50">
        <v>0</v>
      </c>
      <c r="AS172" s="50">
        <v>0</v>
      </c>
      <c r="AT172" s="50">
        <v>0</v>
      </c>
      <c r="AU172" s="50">
        <v>0</v>
      </c>
      <c r="AV172" s="50">
        <v>0</v>
      </c>
      <c r="AW172" s="50">
        <v>0</v>
      </c>
      <c r="AX172" s="50">
        <v>0</v>
      </c>
      <c r="AY172" s="50">
        <v>0</v>
      </c>
      <c r="AZ172" s="50">
        <v>0</v>
      </c>
      <c r="BA172" s="50">
        <v>0</v>
      </c>
      <c r="BB172" s="50">
        <v>0</v>
      </c>
      <c r="BC172" s="50">
        <v>0</v>
      </c>
      <c r="BD172" s="50">
        <v>0</v>
      </c>
      <c r="BE172" s="50">
        <v>0</v>
      </c>
      <c r="BF172" s="50">
        <v>0</v>
      </c>
      <c r="BG172" s="50">
        <v>0.08</v>
      </c>
      <c r="BH172" s="132">
        <f t="shared" ref="BH172:BH177" si="23">+BG172*1.609344</f>
        <v>0.12874752</v>
      </c>
      <c r="BI172" s="50">
        <v>410.8</v>
      </c>
      <c r="BJ172" s="50">
        <f>+BI172*0.3048</f>
        <v>125.21184000000001</v>
      </c>
      <c r="BK172" s="50">
        <f>+BI172*2</f>
        <v>821.6</v>
      </c>
      <c r="BL172" s="138">
        <f>+BK172*0.3048</f>
        <v>250.42368000000002</v>
      </c>
      <c r="BM172" s="50"/>
      <c r="BN172" s="50"/>
      <c r="BO172" s="50"/>
      <c r="BP172" s="50"/>
      <c r="BQ172" s="50"/>
      <c r="BR172" s="50"/>
      <c r="BS172" s="50"/>
      <c r="BT172" s="50"/>
      <c r="BU172" s="50"/>
      <c r="BV172" s="78">
        <v>3045.4006525180653</v>
      </c>
      <c r="BW172" s="194">
        <v>928.23811888750629</v>
      </c>
      <c r="BX172" s="77" t="s">
        <v>568</v>
      </c>
      <c r="BY172" s="131">
        <v>20</v>
      </c>
      <c r="BZ172" s="78">
        <f>+BY172*0.3048</f>
        <v>6.0960000000000001</v>
      </c>
      <c r="CA172" s="78">
        <v>20</v>
      </c>
      <c r="CB172" s="78">
        <f t="shared" ref="CB172:CB187" si="24">+CA172*0.3048</f>
        <v>6.0960000000000001</v>
      </c>
      <c r="CC172" s="78"/>
      <c r="CD172" s="78"/>
      <c r="CE172" s="78">
        <f>+Q172*CA172</f>
        <v>680</v>
      </c>
      <c r="CF172" s="78">
        <f>+CE172*0.3048</f>
        <v>207.26400000000001</v>
      </c>
      <c r="CG172" s="78"/>
      <c r="CH172" s="78"/>
      <c r="CI172" s="78">
        <v>0</v>
      </c>
      <c r="CJ172" s="78">
        <v>0</v>
      </c>
      <c r="CK172" s="78">
        <v>0</v>
      </c>
      <c r="CL172" s="78">
        <v>0</v>
      </c>
      <c r="CM172" s="78">
        <v>0</v>
      </c>
      <c r="CN172" s="78">
        <v>0</v>
      </c>
      <c r="CO172" s="78">
        <v>0</v>
      </c>
      <c r="CP172" s="78">
        <v>0</v>
      </c>
      <c r="CQ172" s="78">
        <v>0</v>
      </c>
      <c r="CR172" s="78">
        <v>0</v>
      </c>
      <c r="CS172" s="78">
        <v>0</v>
      </c>
      <c r="CT172" s="78">
        <v>0</v>
      </c>
      <c r="CU172" s="131">
        <v>6</v>
      </c>
      <c r="CV172" s="78">
        <f>+CU172*0.3048</f>
        <v>1.8288000000000002</v>
      </c>
      <c r="CW172" s="78">
        <f>+CU172*10</f>
        <v>60</v>
      </c>
      <c r="CX172" s="78">
        <f>+CW172*0.3048</f>
        <v>18.288</v>
      </c>
      <c r="CY172" s="78">
        <v>340</v>
      </c>
      <c r="CZ172" s="78">
        <v>103.63200000000001</v>
      </c>
      <c r="DA172" s="78">
        <v>242.36</v>
      </c>
      <c r="DB172" s="78">
        <v>73.871328000000005</v>
      </c>
      <c r="DC172" s="78"/>
      <c r="DD172" s="78"/>
      <c r="DE172" s="80"/>
      <c r="DF172" s="14"/>
      <c r="DG172" s="14"/>
      <c r="DH172" s="87"/>
      <c r="DI172" s="87"/>
      <c r="DJ172" s="87"/>
      <c r="DK172" s="57"/>
      <c r="DL172" s="57"/>
      <c r="DM172" s="57"/>
      <c r="DN172" s="57"/>
      <c r="DO172" s="57"/>
      <c r="DP172" s="87"/>
      <c r="DQ172" s="57"/>
      <c r="DR172" s="57"/>
      <c r="DS172" s="57"/>
    </row>
    <row r="173" spans="1:123" x14ac:dyDescent="0.15">
      <c r="A173" s="94"/>
      <c r="B173" s="167" t="s">
        <v>537</v>
      </c>
      <c r="C173" s="14">
        <v>23</v>
      </c>
      <c r="D173" s="14">
        <f>+(C173*0.3048)</f>
        <v>7.0104000000000006</v>
      </c>
      <c r="E173" s="14">
        <v>23</v>
      </c>
      <c r="F173" s="14">
        <f>+(E173*0.3048)</f>
        <v>7.0104000000000006</v>
      </c>
      <c r="G173" s="14">
        <v>457.2</v>
      </c>
      <c r="H173" s="14">
        <f>+(G173*0.3048)</f>
        <v>139.35455999999999</v>
      </c>
      <c r="I173" s="14">
        <v>457.2</v>
      </c>
      <c r="J173" s="14">
        <f>+(I173*0.3048)</f>
        <v>139.35455999999999</v>
      </c>
      <c r="K173" s="38">
        <f>+(C173*G173)+(D173*I173)</f>
        <v>13720.75488</v>
      </c>
      <c r="L173" s="14">
        <f>+(K173*0.3048)</f>
        <v>4182.0860874240007</v>
      </c>
      <c r="M173" s="14">
        <v>0</v>
      </c>
      <c r="N173" s="14">
        <v>0</v>
      </c>
      <c r="O173" s="14">
        <v>35</v>
      </c>
      <c r="P173" s="81">
        <f>+O173*0.3048</f>
        <v>10.668000000000001</v>
      </c>
      <c r="Q173" s="14">
        <v>35</v>
      </c>
      <c r="R173" s="81">
        <f t="shared" ref="R173:T176" si="25">+Q173*0.3048</f>
        <v>10.668000000000001</v>
      </c>
      <c r="S173" s="14">
        <v>74</v>
      </c>
      <c r="T173" s="81">
        <f t="shared" si="25"/>
        <v>22.555200000000003</v>
      </c>
      <c r="U173" s="113">
        <f>+S173*BI173</f>
        <v>37984.199999999997</v>
      </c>
      <c r="V173" s="38">
        <f>+U173*0.3048</f>
        <v>11577.58416</v>
      </c>
      <c r="W173" s="38">
        <f>+Q173*BI173</f>
        <v>17965.5</v>
      </c>
      <c r="X173" s="81">
        <f>+W173*0.3048</f>
        <v>5475.8843999999999</v>
      </c>
      <c r="Y173" s="14">
        <v>0</v>
      </c>
      <c r="Z173" s="14">
        <v>0</v>
      </c>
      <c r="AA173" s="38">
        <f>+W173</f>
        <v>17965.5</v>
      </c>
      <c r="AB173" s="81">
        <f>+AA173*0.3048</f>
        <v>5475.8843999999999</v>
      </c>
      <c r="AC173" s="14">
        <v>0</v>
      </c>
      <c r="AD173" s="14">
        <v>0</v>
      </c>
      <c r="AE173" s="14"/>
      <c r="AF173" s="14"/>
      <c r="AG173" s="14"/>
      <c r="AH173" s="14"/>
      <c r="AI173" s="14">
        <v>0</v>
      </c>
      <c r="AJ173" s="14">
        <v>0</v>
      </c>
      <c r="AK173" s="14">
        <v>0</v>
      </c>
      <c r="AL173" s="14">
        <v>0</v>
      </c>
      <c r="AM173" s="14">
        <v>0</v>
      </c>
      <c r="AN173" s="14">
        <v>0</v>
      </c>
      <c r="AO173" s="14">
        <v>0</v>
      </c>
      <c r="AP173" s="14">
        <v>0</v>
      </c>
      <c r="AQ173" s="14">
        <v>0</v>
      </c>
      <c r="AR173" s="14">
        <v>0</v>
      </c>
      <c r="AS173" s="14">
        <v>0</v>
      </c>
      <c r="AT173" s="14">
        <v>0</v>
      </c>
      <c r="AU173" s="14">
        <v>0</v>
      </c>
      <c r="AV173" s="14">
        <v>0</v>
      </c>
      <c r="AW173" s="14">
        <v>0</v>
      </c>
      <c r="AX173" s="14">
        <v>0</v>
      </c>
      <c r="AY173" s="14">
        <v>0</v>
      </c>
      <c r="AZ173" s="14">
        <v>0</v>
      </c>
      <c r="BA173" s="14">
        <v>0</v>
      </c>
      <c r="BB173" s="14">
        <v>0</v>
      </c>
      <c r="BC173" s="14">
        <v>0</v>
      </c>
      <c r="BD173" s="14">
        <v>0</v>
      </c>
      <c r="BE173" s="14">
        <v>0</v>
      </c>
      <c r="BF173" s="14">
        <v>0</v>
      </c>
      <c r="BG173" s="14">
        <v>0.1</v>
      </c>
      <c r="BH173" s="135">
        <f t="shared" si="23"/>
        <v>0.16093440000000003</v>
      </c>
      <c r="BI173" s="14">
        <v>513.29999999999995</v>
      </c>
      <c r="BJ173" s="14">
        <f>+BI173*0.3048</f>
        <v>156.45383999999999</v>
      </c>
      <c r="BK173" s="14">
        <f>+BI173*2</f>
        <v>1026.5999999999999</v>
      </c>
      <c r="BL173" s="92">
        <f>+BK173*0.3048</f>
        <v>312.90767999999997</v>
      </c>
      <c r="BM173" s="14"/>
      <c r="BN173" s="14"/>
      <c r="BO173" s="14"/>
      <c r="BP173" s="14"/>
      <c r="BQ173" s="14"/>
      <c r="BR173" s="14"/>
      <c r="BS173" s="14"/>
      <c r="BT173" s="14"/>
      <c r="BU173" s="14"/>
      <c r="BV173" s="38">
        <v>4113.9121050000003</v>
      </c>
      <c r="BW173" s="172">
        <v>1253.9204096040003</v>
      </c>
      <c r="BX173" s="91" t="s">
        <v>569</v>
      </c>
      <c r="BY173" s="38"/>
      <c r="BZ173" s="38"/>
      <c r="CA173" s="38">
        <v>22</v>
      </c>
      <c r="CB173" s="38">
        <f t="shared" si="24"/>
        <v>6.7056000000000004</v>
      </c>
      <c r="CC173" s="38"/>
      <c r="CD173" s="38"/>
      <c r="CE173" s="38">
        <f>+Q172*CA173</f>
        <v>748</v>
      </c>
      <c r="CF173" s="38">
        <f>+CE173*0.3048</f>
        <v>227.99040000000002</v>
      </c>
      <c r="CG173" s="38"/>
      <c r="CH173" s="38"/>
      <c r="CI173" s="38">
        <v>0</v>
      </c>
      <c r="CJ173" s="38">
        <v>0</v>
      </c>
      <c r="CK173" s="38">
        <v>0</v>
      </c>
      <c r="CL173" s="38">
        <v>0</v>
      </c>
      <c r="CM173" s="38">
        <v>0</v>
      </c>
      <c r="CN173" s="38">
        <v>0</v>
      </c>
      <c r="CO173" s="38">
        <v>0</v>
      </c>
      <c r="CP173" s="38">
        <v>0</v>
      </c>
      <c r="CQ173" s="38">
        <v>0</v>
      </c>
      <c r="CR173" s="38">
        <v>0</v>
      </c>
      <c r="CS173" s="38">
        <v>0</v>
      </c>
      <c r="CT173" s="38">
        <v>0</v>
      </c>
      <c r="CU173" s="38"/>
      <c r="CV173" s="38"/>
      <c r="CW173" s="38"/>
      <c r="CX173" s="38"/>
      <c r="CY173" s="38">
        <v>359.19</v>
      </c>
      <c r="CZ173" s="38">
        <v>109.48111200000001</v>
      </c>
      <c r="DA173" s="38">
        <v>324.02</v>
      </c>
      <c r="DB173" s="38">
        <v>98.761296000000002</v>
      </c>
      <c r="DC173" s="38"/>
      <c r="DD173" s="38"/>
      <c r="DE173" s="80"/>
      <c r="DF173" s="14"/>
      <c r="DG173" s="14"/>
      <c r="DH173" s="80"/>
      <c r="DI173" s="80"/>
      <c r="DJ173" s="80"/>
      <c r="DK173" s="94"/>
      <c r="DL173" s="94"/>
      <c r="DM173" s="94"/>
      <c r="DN173" s="94"/>
      <c r="DO173" s="94"/>
      <c r="DP173" s="80"/>
      <c r="DQ173" s="94"/>
      <c r="DR173" s="94"/>
      <c r="DS173" s="94"/>
    </row>
    <row r="174" spans="1:123" x14ac:dyDescent="0.15">
      <c r="A174" s="94"/>
      <c r="B174" s="265" t="s">
        <v>538</v>
      </c>
      <c r="C174" s="14">
        <v>21</v>
      </c>
      <c r="D174" s="14">
        <f>+(C174*0.3048)</f>
        <v>6.4008000000000003</v>
      </c>
      <c r="E174" s="14">
        <v>20</v>
      </c>
      <c r="F174" s="14">
        <f>+(E174*0.3048)</f>
        <v>6.0960000000000001</v>
      </c>
      <c r="G174" s="14">
        <v>429.2</v>
      </c>
      <c r="H174" s="14">
        <f>+(G174*0.3048)</f>
        <v>130.82016000000002</v>
      </c>
      <c r="I174" s="14">
        <v>429.2</v>
      </c>
      <c r="J174" s="14">
        <f>+(I174*0.3048)</f>
        <v>130.82016000000002</v>
      </c>
      <c r="K174" s="38">
        <f>+(C174*G174)+(D174*I174)</f>
        <v>11760.423359999999</v>
      </c>
      <c r="L174" s="14">
        <f>+(K174*0.3048)</f>
        <v>3584.5770401279997</v>
      </c>
      <c r="M174" s="14">
        <v>0.4</v>
      </c>
      <c r="N174" s="81">
        <f>+M174*0.3048</f>
        <v>0.12192000000000001</v>
      </c>
      <c r="O174" s="14">
        <v>33.6</v>
      </c>
      <c r="P174" s="81">
        <f>+O174*0.3048</f>
        <v>10.241280000000001</v>
      </c>
      <c r="Q174" s="14">
        <v>34</v>
      </c>
      <c r="R174" s="81">
        <f t="shared" si="25"/>
        <v>10.363200000000001</v>
      </c>
      <c r="S174" s="14">
        <v>75.25</v>
      </c>
      <c r="T174" s="81">
        <f t="shared" si="25"/>
        <v>22.936199999999999</v>
      </c>
      <c r="U174" s="113">
        <f>+S174*BI174</f>
        <v>38294.724999999999</v>
      </c>
      <c r="V174" s="38">
        <f>+U174*0.3048</f>
        <v>11672.232180000001</v>
      </c>
      <c r="W174" s="38">
        <f>+Q174*BI174</f>
        <v>17302.599999999999</v>
      </c>
      <c r="X174" s="81">
        <f>+W174*0.3048</f>
        <v>5273.83248</v>
      </c>
      <c r="Y174" s="14">
        <v>0</v>
      </c>
      <c r="Z174" s="14">
        <v>0</v>
      </c>
      <c r="AA174" s="38">
        <f>+W174</f>
        <v>17302.599999999999</v>
      </c>
      <c r="AB174" s="81">
        <f>+AA174*0.3048</f>
        <v>5273.83248</v>
      </c>
      <c r="AC174" s="14">
        <v>14.083466700000001</v>
      </c>
      <c r="AD174" s="14">
        <v>4.292640650160001</v>
      </c>
      <c r="AE174" s="14"/>
      <c r="AF174" s="14"/>
      <c r="AG174" s="14"/>
      <c r="AH174" s="14"/>
      <c r="AI174" s="14">
        <v>30</v>
      </c>
      <c r="AJ174" s="14">
        <f>+AI174*0.3048</f>
        <v>9.1440000000000001</v>
      </c>
      <c r="AK174" s="14">
        <f>+(M174*AI174)</f>
        <v>12</v>
      </c>
      <c r="AL174" s="14">
        <f>+AK174*0.3048</f>
        <v>3.6576000000000004</v>
      </c>
      <c r="AM174" s="14">
        <v>0</v>
      </c>
      <c r="AN174" s="14">
        <v>0</v>
      </c>
      <c r="AO174" s="14">
        <v>0</v>
      </c>
      <c r="AP174" s="14">
        <v>0</v>
      </c>
      <c r="AQ174" s="14">
        <v>0</v>
      </c>
      <c r="AR174" s="14">
        <v>0</v>
      </c>
      <c r="AS174" s="14">
        <v>0</v>
      </c>
      <c r="AT174" s="14">
        <v>0</v>
      </c>
      <c r="AU174" s="14">
        <v>0</v>
      </c>
      <c r="AV174" s="14">
        <v>0</v>
      </c>
      <c r="AW174" s="14">
        <v>0</v>
      </c>
      <c r="AX174" s="14">
        <v>0</v>
      </c>
      <c r="AY174" s="14">
        <v>0</v>
      </c>
      <c r="AZ174" s="14">
        <v>0</v>
      </c>
      <c r="BA174" s="14">
        <v>0</v>
      </c>
      <c r="BB174" s="14">
        <v>0</v>
      </c>
      <c r="BC174" s="14">
        <v>0</v>
      </c>
      <c r="BD174" s="14">
        <v>0</v>
      </c>
      <c r="BE174" s="14">
        <v>0</v>
      </c>
      <c r="BF174" s="14">
        <v>0</v>
      </c>
      <c r="BG174" s="14">
        <v>0.1</v>
      </c>
      <c r="BH174" s="135">
        <f t="shared" si="23"/>
        <v>0.16093440000000003</v>
      </c>
      <c r="BI174" s="14">
        <v>508.9</v>
      </c>
      <c r="BJ174" s="14">
        <f>+BI174*0.3048</f>
        <v>155.11272</v>
      </c>
      <c r="BK174" s="14">
        <f>+BI174*2</f>
        <v>1017.8</v>
      </c>
      <c r="BL174" s="92">
        <f>+BK174*0.3048</f>
        <v>310.22543999999999</v>
      </c>
      <c r="BM174" s="14"/>
      <c r="BN174" s="14"/>
      <c r="BO174" s="14"/>
      <c r="BP174" s="14"/>
      <c r="BQ174" s="14"/>
      <c r="BR174" s="14"/>
      <c r="BS174" s="14"/>
      <c r="BT174" s="14"/>
      <c r="BU174" s="14"/>
      <c r="BV174" s="38">
        <v>3919.2206587441178</v>
      </c>
      <c r="BW174" s="172">
        <v>1194.578456785207</v>
      </c>
      <c r="BX174" s="91" t="s">
        <v>436</v>
      </c>
      <c r="BY174" s="38">
        <v>20</v>
      </c>
      <c r="BZ174" s="38">
        <f>+BY174*0.3048</f>
        <v>6.0960000000000001</v>
      </c>
      <c r="CA174" s="38">
        <v>20</v>
      </c>
      <c r="CB174" s="38">
        <f t="shared" si="24"/>
        <v>6.0960000000000001</v>
      </c>
      <c r="CC174" s="38"/>
      <c r="CD174" s="38"/>
      <c r="CE174" s="38">
        <f>+Q173*CA174</f>
        <v>700</v>
      </c>
      <c r="CF174" s="38">
        <f t="shared" ref="CF174:CF186" si="26">+CE174*0.3048</f>
        <v>213.36</v>
      </c>
      <c r="CG174" s="38"/>
      <c r="CH174" s="38"/>
      <c r="CI174" s="38">
        <v>0</v>
      </c>
      <c r="CJ174" s="38">
        <v>0</v>
      </c>
      <c r="CK174" s="38">
        <v>0</v>
      </c>
      <c r="CL174" s="38">
        <v>0</v>
      </c>
      <c r="CM174" s="38">
        <v>0</v>
      </c>
      <c r="CN174" s="38">
        <v>0</v>
      </c>
      <c r="CO174" s="38">
        <v>0</v>
      </c>
      <c r="CP174" s="38">
        <v>0</v>
      </c>
      <c r="CQ174" s="38">
        <v>0</v>
      </c>
      <c r="CR174" s="38">
        <v>0</v>
      </c>
      <c r="CS174" s="38">
        <v>0</v>
      </c>
      <c r="CT174" s="38">
        <v>0</v>
      </c>
      <c r="CU174" s="38"/>
      <c r="CV174" s="38"/>
      <c r="CW174" s="38"/>
      <c r="CX174" s="38"/>
      <c r="CY174" s="38">
        <v>304.67</v>
      </c>
      <c r="CZ174" s="38">
        <v>92.863416000000015</v>
      </c>
      <c r="DA174" s="38">
        <v>271.39</v>
      </c>
      <c r="DB174" s="38">
        <v>82.719672000000003</v>
      </c>
      <c r="DC174" s="38"/>
      <c r="DD174" s="38"/>
      <c r="DE174" s="80"/>
      <c r="DF174" s="14"/>
      <c r="DG174" s="14"/>
      <c r="DH174" s="80"/>
      <c r="DI174" s="80"/>
      <c r="DJ174" s="80"/>
      <c r="DK174" s="94"/>
      <c r="DL174" s="94"/>
      <c r="DM174" s="94"/>
      <c r="DN174" s="94"/>
      <c r="DO174" s="94"/>
      <c r="DP174" s="80"/>
      <c r="DQ174" s="94"/>
      <c r="DR174" s="94"/>
      <c r="DS174" s="94"/>
    </row>
    <row r="175" spans="1:123" x14ac:dyDescent="0.15">
      <c r="A175" s="94"/>
      <c r="B175" s="265" t="s">
        <v>539</v>
      </c>
      <c r="C175" s="14">
        <v>9</v>
      </c>
      <c r="D175" s="14">
        <f>+(C175*0.3048)</f>
        <v>2.7432000000000003</v>
      </c>
      <c r="E175" s="14">
        <v>9</v>
      </c>
      <c r="F175" s="14">
        <f>+(E175*0.3048)</f>
        <v>2.7432000000000003</v>
      </c>
      <c r="G175" s="14">
        <v>437.6</v>
      </c>
      <c r="H175" s="14">
        <f>+(G175*0.3048)</f>
        <v>133.38048000000001</v>
      </c>
      <c r="I175" s="14">
        <v>437.6</v>
      </c>
      <c r="J175" s="14">
        <f>+(I175*0.3048)</f>
        <v>133.38048000000001</v>
      </c>
      <c r="K175" s="38">
        <f>+(C175*G175)+(D175*I175)</f>
        <v>5138.8243200000006</v>
      </c>
      <c r="L175" s="14">
        <f>+(K175*0.3048)</f>
        <v>1566.3136527360002</v>
      </c>
      <c r="M175" s="14">
        <v>25</v>
      </c>
      <c r="N175" s="81">
        <f>+M175*0.3048</f>
        <v>7.62</v>
      </c>
      <c r="O175" s="14">
        <v>34</v>
      </c>
      <c r="P175" s="81">
        <f>+O175*0.3048</f>
        <v>10.363200000000001</v>
      </c>
      <c r="Q175" s="14">
        <v>82</v>
      </c>
      <c r="R175" s="81">
        <f t="shared" si="25"/>
        <v>24.993600000000001</v>
      </c>
      <c r="S175" s="14">
        <v>104</v>
      </c>
      <c r="T175" s="81">
        <f t="shared" si="25"/>
        <v>31.699200000000001</v>
      </c>
      <c r="U175" s="113">
        <f>+S175*BI175</f>
        <v>53404</v>
      </c>
      <c r="V175" s="38">
        <f>+U175*0.3048</f>
        <v>16277.539200000001</v>
      </c>
      <c r="W175" s="38">
        <f>+Q175*BI175</f>
        <v>42107</v>
      </c>
      <c r="X175" s="81">
        <f>+W175*0.3048</f>
        <v>12834.213600000001</v>
      </c>
      <c r="Y175" s="14">
        <v>0</v>
      </c>
      <c r="Z175" s="14">
        <v>0</v>
      </c>
      <c r="AA175" s="38">
        <f>+W175-AK175</f>
        <v>31207</v>
      </c>
      <c r="AB175" s="81">
        <f>+AA175*0.3048</f>
        <v>9511.8936000000012</v>
      </c>
      <c r="AC175" s="14">
        <v>343.91669999999999</v>
      </c>
      <c r="AD175" s="14">
        <v>104.82581016</v>
      </c>
      <c r="AE175" s="14"/>
      <c r="AF175" s="14"/>
      <c r="AG175" s="14"/>
      <c r="AH175" s="14"/>
      <c r="AI175" s="14">
        <v>436</v>
      </c>
      <c r="AJ175" s="14">
        <f>+AI175*0.3048</f>
        <v>132.89279999999999</v>
      </c>
      <c r="AK175" s="14">
        <f>+(M175*AI175)</f>
        <v>10900</v>
      </c>
      <c r="AL175" s="14">
        <f>+AK175*0.3048</f>
        <v>3322.32</v>
      </c>
      <c r="AM175" s="14">
        <v>0</v>
      </c>
      <c r="AN175" s="14">
        <v>0</v>
      </c>
      <c r="AO175" s="14">
        <v>0</v>
      </c>
      <c r="AP175" s="14">
        <v>0</v>
      </c>
      <c r="AQ175" s="14">
        <v>0</v>
      </c>
      <c r="AR175" s="14">
        <v>0</v>
      </c>
      <c r="AS175" s="14">
        <v>0</v>
      </c>
      <c r="AT175" s="14">
        <v>0</v>
      </c>
      <c r="AU175" s="14">
        <v>0</v>
      </c>
      <c r="AV175" s="14">
        <v>0</v>
      </c>
      <c r="AW175" s="14">
        <v>0</v>
      </c>
      <c r="AX175" s="14">
        <v>0</v>
      </c>
      <c r="AY175" s="14">
        <v>0</v>
      </c>
      <c r="AZ175" s="14">
        <v>0</v>
      </c>
      <c r="BA175" s="14">
        <v>0</v>
      </c>
      <c r="BB175" s="14">
        <v>0</v>
      </c>
      <c r="BC175" s="14">
        <v>0</v>
      </c>
      <c r="BD175" s="14">
        <v>0</v>
      </c>
      <c r="BE175" s="14">
        <v>0</v>
      </c>
      <c r="BF175" s="14">
        <v>0</v>
      </c>
      <c r="BG175" s="14">
        <v>0.1</v>
      </c>
      <c r="BH175" s="135">
        <f t="shared" si="23"/>
        <v>0.16093440000000003</v>
      </c>
      <c r="BI175" s="14">
        <v>513.5</v>
      </c>
      <c r="BJ175" s="14">
        <f>+BI175*0.3048</f>
        <v>156.51480000000001</v>
      </c>
      <c r="BK175" s="14">
        <f>+BI175*2</f>
        <v>1027</v>
      </c>
      <c r="BL175" s="92">
        <f>+BK175*0.3048</f>
        <v>313.02960000000002</v>
      </c>
      <c r="BM175" s="14"/>
      <c r="BN175" s="14"/>
      <c r="BO175" s="14"/>
      <c r="BP175" s="14"/>
      <c r="BQ175" s="14"/>
      <c r="BR175" s="14"/>
      <c r="BS175" s="14"/>
      <c r="BT175" s="14"/>
      <c r="BU175" s="14"/>
      <c r="BV175" s="38">
        <v>6246.5037456670516</v>
      </c>
      <c r="BW175" s="172">
        <v>1903.9343416793172</v>
      </c>
      <c r="BX175" s="91" t="s">
        <v>570</v>
      </c>
      <c r="BY175" s="38"/>
      <c r="BZ175" s="38"/>
      <c r="CA175" s="38">
        <v>11</v>
      </c>
      <c r="CB175" s="38">
        <f t="shared" si="24"/>
        <v>3.3528000000000002</v>
      </c>
      <c r="CC175" s="38"/>
      <c r="CD175" s="38"/>
      <c r="CE175" s="38">
        <f>+Q173*CA175</f>
        <v>385</v>
      </c>
      <c r="CF175" s="38">
        <f t="shared" si="26"/>
        <v>117.348</v>
      </c>
      <c r="CG175" s="38"/>
      <c r="CH175" s="38"/>
      <c r="CI175" s="38">
        <v>0</v>
      </c>
      <c r="CJ175" s="38">
        <v>0</v>
      </c>
      <c r="CK175" s="38">
        <v>0</v>
      </c>
      <c r="CL175" s="38">
        <v>0</v>
      </c>
      <c r="CM175" s="38">
        <v>0</v>
      </c>
      <c r="CN175" s="38">
        <v>0</v>
      </c>
      <c r="CO175" s="38">
        <v>0</v>
      </c>
      <c r="CP175" s="38">
        <v>0</v>
      </c>
      <c r="CQ175" s="38">
        <v>0</v>
      </c>
      <c r="CR175" s="38">
        <v>0</v>
      </c>
      <c r="CS175" s="38">
        <v>0</v>
      </c>
      <c r="CT175" s="38">
        <v>0</v>
      </c>
      <c r="CU175" s="113" t="s">
        <v>18</v>
      </c>
      <c r="CV175" s="113" t="s">
        <v>18</v>
      </c>
      <c r="CW175" s="113"/>
      <c r="CX175" s="113"/>
      <c r="CY175" s="38">
        <v>259.17</v>
      </c>
      <c r="CZ175" s="38">
        <v>78.995016000000007</v>
      </c>
      <c r="DA175" s="38">
        <v>180.13</v>
      </c>
      <c r="DB175" s="38">
        <v>54.903624000000001</v>
      </c>
      <c r="DC175" s="38"/>
      <c r="DD175" s="38"/>
      <c r="DE175" s="80"/>
      <c r="DF175" s="14"/>
      <c r="DG175" s="14"/>
      <c r="DH175" s="80"/>
      <c r="DI175" s="80"/>
      <c r="DJ175" s="80"/>
      <c r="DK175" s="94"/>
      <c r="DL175" s="94"/>
      <c r="DM175" s="94"/>
      <c r="DN175" s="94"/>
      <c r="DO175" s="94"/>
      <c r="DP175" s="80"/>
      <c r="DQ175" s="94"/>
      <c r="DR175" s="94"/>
      <c r="DS175" s="94"/>
    </row>
    <row r="176" spans="1:123" ht="14" thickBot="1" x14ac:dyDescent="0.2">
      <c r="A176" s="94"/>
      <c r="B176" s="465" t="s">
        <v>541</v>
      </c>
      <c r="C176" s="34">
        <v>9</v>
      </c>
      <c r="D176" s="197">
        <f>+(C176*0.3048)</f>
        <v>2.7432000000000003</v>
      </c>
      <c r="E176" s="34">
        <v>11.25</v>
      </c>
      <c r="F176" s="197">
        <f>+(E176*0.3048)</f>
        <v>3.4290000000000003</v>
      </c>
      <c r="G176" s="34">
        <v>635.70000000000005</v>
      </c>
      <c r="H176" s="197">
        <f>+(G176*0.3048)</f>
        <v>193.76136000000002</v>
      </c>
      <c r="I176" s="34">
        <v>635.70000000000005</v>
      </c>
      <c r="J176" s="197">
        <f>+(I176*0.3048)</f>
        <v>193.76136000000002</v>
      </c>
      <c r="K176" s="174">
        <f>+(C176*G176)+(D176*I176)</f>
        <v>7465.1522400000003</v>
      </c>
      <c r="L176" s="34">
        <f>+(K176*0.3048)</f>
        <v>2275.3784027520001</v>
      </c>
      <c r="M176" s="34">
        <f>22.25*0.36</f>
        <v>8.01</v>
      </c>
      <c r="N176" s="697">
        <f>+M176*0.3048</f>
        <v>2.4414479999999998</v>
      </c>
      <c r="O176" s="34">
        <v>33.25</v>
      </c>
      <c r="P176" s="697">
        <f>+O176*0.3048</f>
        <v>10.134600000000001</v>
      </c>
      <c r="Q176" s="34">
        <v>66</v>
      </c>
      <c r="R176" s="697">
        <f t="shared" si="25"/>
        <v>20.116800000000001</v>
      </c>
      <c r="S176" s="34">
        <v>86</v>
      </c>
      <c r="T176" s="697">
        <f t="shared" si="25"/>
        <v>26.212800000000001</v>
      </c>
      <c r="U176" s="175">
        <f>+S176*BI176</f>
        <v>63296</v>
      </c>
      <c r="V176" s="174">
        <f>+U176*0.3048</f>
        <v>19292.620800000001</v>
      </c>
      <c r="W176" s="174">
        <f>+Q176*BI176</f>
        <v>48576</v>
      </c>
      <c r="X176" s="697">
        <f>+W176*0.3048</f>
        <v>14805.964800000002</v>
      </c>
      <c r="Y176" s="34">
        <v>0</v>
      </c>
      <c r="Z176" s="34">
        <v>0</v>
      </c>
      <c r="AA176" s="174">
        <f>+W176-AK176-BE176</f>
        <v>46652.85</v>
      </c>
      <c r="AB176" s="697">
        <f>+AA176*0.3048</f>
        <v>14219.78868</v>
      </c>
      <c r="AC176" s="34">
        <v>402</v>
      </c>
      <c r="AD176" s="34">
        <v>122.5296</v>
      </c>
      <c r="AE176" s="34"/>
      <c r="AF176" s="34"/>
      <c r="AG176" s="34"/>
      <c r="AH176" s="34"/>
      <c r="AI176" s="34">
        <v>240</v>
      </c>
      <c r="AJ176" s="34">
        <f>+AI176*0.3048</f>
        <v>73.152000000000001</v>
      </c>
      <c r="AK176" s="34">
        <f>+(M176*AI176)</f>
        <v>1922.3999999999999</v>
      </c>
      <c r="AL176" s="34">
        <f>+AK176*0.3048</f>
        <v>585.94751999999994</v>
      </c>
      <c r="AM176" s="34">
        <v>0</v>
      </c>
      <c r="AN176" s="34">
        <v>0</v>
      </c>
      <c r="AO176" s="34">
        <v>0</v>
      </c>
      <c r="AP176" s="34">
        <v>0</v>
      </c>
      <c r="AQ176" s="34">
        <v>0</v>
      </c>
      <c r="AR176" s="34">
        <v>0</v>
      </c>
      <c r="AS176" s="34">
        <v>0</v>
      </c>
      <c r="AT176" s="34">
        <v>0</v>
      </c>
      <c r="AU176" s="34">
        <v>0</v>
      </c>
      <c r="AV176" s="34">
        <v>0</v>
      </c>
      <c r="AW176" s="34">
        <v>0</v>
      </c>
      <c r="AX176" s="34">
        <v>0</v>
      </c>
      <c r="AY176" s="34">
        <v>0</v>
      </c>
      <c r="AZ176" s="34">
        <v>0</v>
      </c>
      <c r="BA176" s="34">
        <v>0</v>
      </c>
      <c r="BB176" s="34">
        <v>0</v>
      </c>
      <c r="BC176" s="34">
        <v>0</v>
      </c>
      <c r="BD176" s="34">
        <v>0</v>
      </c>
      <c r="BE176" s="197">
        <v>0.75</v>
      </c>
      <c r="BF176" s="284">
        <f>+BE176*0.3048</f>
        <v>0.22860000000000003</v>
      </c>
      <c r="BG176" s="34">
        <v>0.14000000000000001</v>
      </c>
      <c r="BH176" s="135">
        <f t="shared" si="23"/>
        <v>0.22530816000000004</v>
      </c>
      <c r="BI176" s="34">
        <v>736</v>
      </c>
      <c r="BJ176" s="34">
        <f>+BI176*0.3048</f>
        <v>224.33280000000002</v>
      </c>
      <c r="BK176" s="34">
        <f>+BI176*2</f>
        <v>1472</v>
      </c>
      <c r="BL176" s="284">
        <f>+BK176*0.3048</f>
        <v>448.66560000000004</v>
      </c>
      <c r="BM176" s="34"/>
      <c r="BN176" s="34"/>
      <c r="BO176" s="34"/>
      <c r="BP176" s="34"/>
      <c r="BQ176" s="34"/>
      <c r="BR176" s="34"/>
      <c r="BS176" s="34"/>
      <c r="BT176" s="34"/>
      <c r="BU176" s="34"/>
      <c r="BV176" s="174">
        <v>2424.2356743190048</v>
      </c>
      <c r="BW176" s="198">
        <v>738.90703353243259</v>
      </c>
      <c r="BX176" s="91" t="s">
        <v>571</v>
      </c>
      <c r="BY176" s="38">
        <v>20</v>
      </c>
      <c r="BZ176" s="38">
        <f>+BY176*0.3048</f>
        <v>6.0960000000000001</v>
      </c>
      <c r="CA176" s="38">
        <v>20</v>
      </c>
      <c r="CB176" s="38">
        <f t="shared" si="24"/>
        <v>6.0960000000000001</v>
      </c>
      <c r="CC176" s="38"/>
      <c r="CD176" s="38"/>
      <c r="CE176" s="38">
        <f>+Q176*CA176</f>
        <v>1320</v>
      </c>
      <c r="CF176" s="38">
        <f t="shared" si="26"/>
        <v>402.33600000000001</v>
      </c>
      <c r="CG176" s="38"/>
      <c r="CH176" s="38"/>
      <c r="CI176" s="38">
        <v>0</v>
      </c>
      <c r="CJ176" s="38">
        <v>0</v>
      </c>
      <c r="CK176" s="38">
        <v>0</v>
      </c>
      <c r="CL176" s="38">
        <v>0</v>
      </c>
      <c r="CM176" s="38">
        <v>0</v>
      </c>
      <c r="CN176" s="38">
        <v>0</v>
      </c>
      <c r="CO176" s="38">
        <v>0</v>
      </c>
      <c r="CP176" s="38">
        <v>0</v>
      </c>
      <c r="CQ176" s="38">
        <v>0</v>
      </c>
      <c r="CR176" s="38">
        <v>0</v>
      </c>
      <c r="CS176" s="38">
        <v>0</v>
      </c>
      <c r="CT176" s="38">
        <v>0</v>
      </c>
      <c r="CU176" s="38"/>
      <c r="CV176" s="38"/>
      <c r="CW176" s="38"/>
      <c r="CX176" s="38"/>
      <c r="CY176" s="38">
        <v>113.7</v>
      </c>
      <c r="CZ176" s="38">
        <v>34.655760000000001</v>
      </c>
      <c r="DA176" s="38">
        <v>196.9</v>
      </c>
      <c r="DB176" s="38">
        <v>60.015120000000003</v>
      </c>
      <c r="DC176" s="38"/>
      <c r="DD176" s="38"/>
      <c r="DE176" s="795"/>
      <c r="DF176" s="592"/>
      <c r="DG176" s="592"/>
      <c r="DH176" s="80"/>
      <c r="DI176" s="80"/>
      <c r="DJ176" s="80"/>
      <c r="DK176" s="94"/>
      <c r="DL176" s="94"/>
      <c r="DM176" s="94"/>
      <c r="DN176" s="94"/>
      <c r="DO176" s="94"/>
      <c r="DP176" s="80"/>
      <c r="DQ176" s="94"/>
      <c r="DR176" s="94"/>
      <c r="DS176" s="94"/>
    </row>
    <row r="177" spans="1:123" ht="14" thickBot="1" x14ac:dyDescent="0.2">
      <c r="A177" s="94" t="s">
        <v>18</v>
      </c>
      <c r="B177" s="264" t="s">
        <v>253</v>
      </c>
      <c r="C177" s="50"/>
      <c r="D177" s="50"/>
      <c r="E177" s="50"/>
      <c r="F177" s="50"/>
      <c r="G177" s="731">
        <f t="shared" ref="G177:L177" si="27">SUM(G172:G176)</f>
        <v>2266.6000000000004</v>
      </c>
      <c r="H177" s="731">
        <f t="shared" si="27"/>
        <v>690.85968000000003</v>
      </c>
      <c r="I177" s="731">
        <f t="shared" si="27"/>
        <v>2415</v>
      </c>
      <c r="J177" s="731">
        <f t="shared" si="27"/>
        <v>736.0920000000001</v>
      </c>
      <c r="K177" s="584">
        <f t="shared" si="27"/>
        <v>48112.852200000001</v>
      </c>
      <c r="L177" s="731">
        <f t="shared" si="27"/>
        <v>14664.79735056</v>
      </c>
      <c r="M177" s="50"/>
      <c r="N177" s="50"/>
      <c r="O177" s="50"/>
      <c r="P177" s="50"/>
      <c r="Q177" s="50"/>
      <c r="R177" s="50"/>
      <c r="S177" s="50"/>
      <c r="T177" s="50"/>
      <c r="U177" s="731">
        <f>SUM(U172:U176)</f>
        <v>225432.125</v>
      </c>
      <c r="V177" s="731">
        <f>SUM(V172:V176)</f>
        <v>68711.7117</v>
      </c>
      <c r="W177" s="731">
        <f>SUM(W172:W176)</f>
        <v>139918.29999999999</v>
      </c>
      <c r="X177" s="731">
        <f>SUM(X172:X176)</f>
        <v>42647.097840000002</v>
      </c>
      <c r="Y177" s="571"/>
      <c r="Z177" s="571"/>
      <c r="AA177" s="731">
        <f>SUM(AA172:AA176)</f>
        <v>126411.15</v>
      </c>
      <c r="AB177" s="731">
        <f>SUM(AB172:AB176)</f>
        <v>38530.118519999996</v>
      </c>
      <c r="AC177" s="731">
        <f>SUM(AC172:AC176)</f>
        <v>774.00016670000002</v>
      </c>
      <c r="AD177" s="731">
        <f>SUM(AD172:AD176)</f>
        <v>235.91525081015999</v>
      </c>
      <c r="AE177" s="731">
        <v>0</v>
      </c>
      <c r="AF177" s="731">
        <v>0</v>
      </c>
      <c r="AG177" s="731">
        <v>211.5</v>
      </c>
      <c r="AH177" s="731">
        <f>+AG177*0.3048</f>
        <v>64.46520000000001</v>
      </c>
      <c r="AI177" s="731">
        <f>SUM(AI172:AI176)</f>
        <v>782</v>
      </c>
      <c r="AJ177" s="731">
        <f>SUM(AJ172:AJ176)</f>
        <v>238.35359999999997</v>
      </c>
      <c r="AK177" s="731">
        <f>SUM(AK172:AK176)</f>
        <v>13518.4</v>
      </c>
      <c r="AL177" s="731">
        <f>SUM(AL172:AL176)</f>
        <v>4120.4083200000005</v>
      </c>
      <c r="AM177" s="571"/>
      <c r="AN177" s="571"/>
      <c r="AO177" s="731">
        <f>SUM(AO172:AO176)</f>
        <v>0</v>
      </c>
      <c r="AP177" s="731">
        <f>SUM(AP172:AP176)</f>
        <v>0</v>
      </c>
      <c r="AQ177" s="731">
        <f>SUM(AQ172:AQ176)</f>
        <v>0</v>
      </c>
      <c r="AR177" s="731">
        <f>SUM(AR172:AR176)</f>
        <v>0</v>
      </c>
      <c r="AS177" s="571"/>
      <c r="AT177" s="571"/>
      <c r="AU177" s="731">
        <f>SUM(AU172:AU176)</f>
        <v>0</v>
      </c>
      <c r="AV177" s="731">
        <f>SUM(AV172:AV176)</f>
        <v>0</v>
      </c>
      <c r="AW177" s="731">
        <f>SUM(AW172:AW176)</f>
        <v>0</v>
      </c>
      <c r="AX177" s="731">
        <f>SUM(AX172:AX176)</f>
        <v>0</v>
      </c>
      <c r="AY177" s="571"/>
      <c r="AZ177" s="571"/>
      <c r="BA177" s="731">
        <f t="shared" ref="BA177:BL177" si="28">SUM(BA172:BA176)</f>
        <v>0</v>
      </c>
      <c r="BB177" s="731">
        <f t="shared" si="28"/>
        <v>0</v>
      </c>
      <c r="BC177" s="731">
        <f t="shared" si="28"/>
        <v>0</v>
      </c>
      <c r="BD177" s="731">
        <f t="shared" si="28"/>
        <v>0</v>
      </c>
      <c r="BE177" s="731">
        <f t="shared" si="28"/>
        <v>0.75</v>
      </c>
      <c r="BF177" s="731">
        <f t="shared" si="28"/>
        <v>0.22860000000000003</v>
      </c>
      <c r="BG177" s="731">
        <f t="shared" si="28"/>
        <v>0.52</v>
      </c>
      <c r="BH177" s="585">
        <f t="shared" si="23"/>
        <v>0.83685888000000008</v>
      </c>
      <c r="BI177" s="731">
        <f t="shared" si="28"/>
        <v>2682.5</v>
      </c>
      <c r="BJ177" s="731">
        <f t="shared" si="28"/>
        <v>817.62600000000009</v>
      </c>
      <c r="BK177" s="731">
        <f t="shared" si="28"/>
        <v>5365</v>
      </c>
      <c r="BL177" s="731">
        <f t="shared" si="28"/>
        <v>1635.2520000000002</v>
      </c>
      <c r="BM177" s="584">
        <v>10783.302987650639</v>
      </c>
      <c r="BN177" s="584">
        <v>3286.7507506359148</v>
      </c>
      <c r="BO177" s="732">
        <f>+AC177/BK177</f>
        <v>0.14426843740913328</v>
      </c>
      <c r="BP177" s="732">
        <v>0</v>
      </c>
      <c r="BQ177" s="732">
        <f>+AG177/BI177</f>
        <v>7.8844361602982291E-2</v>
      </c>
      <c r="BR177" s="732">
        <f>+AI177/BI177</f>
        <v>0.29151910531220876</v>
      </c>
      <c r="BS177" s="732">
        <f>+AO177/BK177</f>
        <v>0</v>
      </c>
      <c r="BT177" s="765">
        <v>1.7299999999999999E-2</v>
      </c>
      <c r="BU177" s="732">
        <v>2.0899999999999998E-2</v>
      </c>
      <c r="BV177" s="584">
        <f>SUM(BV172:BV176)</f>
        <v>19749.272836248238</v>
      </c>
      <c r="BW177" s="684">
        <f>SUM(BW172:BW176)</f>
        <v>6019.5783604884627</v>
      </c>
      <c r="BX177" s="91" t="s">
        <v>572</v>
      </c>
      <c r="BY177" s="38"/>
      <c r="BZ177" s="113" t="s">
        <v>18</v>
      </c>
      <c r="CA177" s="38">
        <v>11</v>
      </c>
      <c r="CB177" s="38">
        <f t="shared" si="24"/>
        <v>3.3528000000000002</v>
      </c>
      <c r="CC177" s="38"/>
      <c r="CD177" s="38"/>
      <c r="CE177" s="38">
        <f>+Q174*CA177</f>
        <v>374</v>
      </c>
      <c r="CF177" s="38">
        <f t="shared" si="26"/>
        <v>113.99520000000001</v>
      </c>
      <c r="CG177" s="38"/>
      <c r="CH177" s="38"/>
      <c r="CI177" s="38"/>
      <c r="CJ177" s="38"/>
      <c r="CK177" s="38"/>
      <c r="CL177" s="38"/>
      <c r="CM177" s="38"/>
      <c r="CN177" s="38"/>
      <c r="CO177" s="38"/>
      <c r="CP177" s="38"/>
      <c r="CQ177" s="38"/>
      <c r="CR177" s="38"/>
      <c r="CS177" s="38"/>
      <c r="CT177" s="38"/>
      <c r="CU177" s="113" t="s">
        <v>18</v>
      </c>
      <c r="CV177" s="113" t="s">
        <v>18</v>
      </c>
      <c r="CW177" s="113"/>
      <c r="CX177" s="113"/>
      <c r="CY177" s="592">
        <v>1376.7300000000002</v>
      </c>
      <c r="CZ177" s="592">
        <v>419.62730400000004</v>
      </c>
      <c r="DA177" s="592">
        <v>1214.8</v>
      </c>
      <c r="DB177" s="592">
        <v>370.27104000000003</v>
      </c>
      <c r="DC177" s="592">
        <f>+CY177+DA177</f>
        <v>2591.5300000000002</v>
      </c>
      <c r="DD177" s="592">
        <f>+CZ177+DB177</f>
        <v>789.89834400000007</v>
      </c>
      <c r="DE177" s="91" t="s">
        <v>18</v>
      </c>
      <c r="DF177" s="592" t="s">
        <v>18</v>
      </c>
      <c r="DG177" s="592" t="s">
        <v>18</v>
      </c>
      <c r="DH177" s="80"/>
      <c r="DI177" s="80"/>
      <c r="DJ177" s="80"/>
      <c r="DK177" s="94"/>
      <c r="DL177" s="94"/>
      <c r="DM177" s="94"/>
      <c r="DN177" s="94"/>
      <c r="DO177" s="94"/>
      <c r="DP177" s="80"/>
      <c r="DQ177" s="94"/>
      <c r="DR177" s="94"/>
      <c r="DS177" s="94"/>
    </row>
    <row r="178" spans="1:123" ht="14" thickBot="1" x14ac:dyDescent="0.2">
      <c r="A178" s="94"/>
      <c r="B178" s="48" t="s">
        <v>727</v>
      </c>
      <c r="C178" s="50"/>
      <c r="D178" s="50"/>
      <c r="E178" s="50"/>
      <c r="F178" s="50"/>
      <c r="G178" s="355"/>
      <c r="H178" s="355"/>
      <c r="I178" s="355"/>
      <c r="J178" s="355"/>
      <c r="K178" s="767"/>
      <c r="L178" s="355"/>
      <c r="M178" s="50"/>
      <c r="N178" s="50"/>
      <c r="O178" s="50"/>
      <c r="P178" s="50"/>
      <c r="Q178" s="50"/>
      <c r="R178" s="50"/>
      <c r="S178" s="50"/>
      <c r="T178" s="50"/>
      <c r="U178" s="355"/>
      <c r="V178" s="355"/>
      <c r="W178" s="355"/>
      <c r="X178" s="355"/>
      <c r="Y178" s="50"/>
      <c r="Z178" s="50"/>
      <c r="AA178" s="731">
        <v>126411.15</v>
      </c>
      <c r="AB178" s="731">
        <v>38530.118519999996</v>
      </c>
      <c r="AC178" s="355"/>
      <c r="AD178" s="355"/>
      <c r="AE178" s="355"/>
      <c r="AF178" s="355"/>
      <c r="AG178" s="50"/>
      <c r="AH178" s="50"/>
      <c r="AI178" s="355"/>
      <c r="AJ178" s="355"/>
      <c r="AK178" s="355"/>
      <c r="AL178" s="355"/>
      <c r="AM178" s="50"/>
      <c r="AN178" s="50"/>
      <c r="AO178" s="355"/>
      <c r="AP178" s="355"/>
      <c r="AQ178" s="355"/>
      <c r="AR178" s="355"/>
      <c r="AS178" s="50"/>
      <c r="AT178" s="50"/>
      <c r="AU178" s="355"/>
      <c r="AV178" s="355"/>
      <c r="AW178" s="355"/>
      <c r="AX178" s="355"/>
      <c r="AY178" s="50"/>
      <c r="AZ178" s="50"/>
      <c r="BA178" s="355"/>
      <c r="BB178" s="355"/>
      <c r="BC178" s="355"/>
      <c r="BD178" s="355"/>
      <c r="BE178" s="355"/>
      <c r="BF178" s="355"/>
      <c r="BG178" s="355"/>
      <c r="BH178" s="355"/>
      <c r="BI178" s="355"/>
      <c r="BJ178" s="355"/>
      <c r="BK178" s="355"/>
      <c r="BL178" s="355"/>
      <c r="BM178" s="78"/>
      <c r="BN178" s="78"/>
      <c r="BO178" s="140"/>
      <c r="BP178" s="140"/>
      <c r="BQ178" s="140"/>
      <c r="BR178" s="140"/>
      <c r="BS178" s="140"/>
      <c r="BT178" s="718"/>
      <c r="BU178" s="718"/>
      <c r="BV178" s="767"/>
      <c r="BW178" s="768"/>
      <c r="BX178" s="91"/>
      <c r="BY178" s="38"/>
      <c r="BZ178" s="113"/>
      <c r="CA178" s="38"/>
      <c r="CB178" s="38"/>
      <c r="CC178" s="38"/>
      <c r="CD178" s="38"/>
      <c r="CE178" s="38"/>
      <c r="CF178" s="38"/>
      <c r="CG178" s="38"/>
      <c r="CH178" s="38"/>
      <c r="CI178" s="38"/>
      <c r="CJ178" s="38"/>
      <c r="CK178" s="38"/>
      <c r="CL178" s="38"/>
      <c r="CM178" s="38"/>
      <c r="CN178" s="38"/>
      <c r="CO178" s="38"/>
      <c r="CP178" s="38"/>
      <c r="CQ178" s="38"/>
      <c r="CR178" s="38"/>
      <c r="CS178" s="38"/>
      <c r="CT178" s="38"/>
      <c r="CU178" s="113"/>
      <c r="CV178" s="113"/>
      <c r="CW178" s="113"/>
      <c r="CX178" s="113"/>
      <c r="CY178" s="472"/>
      <c r="CZ178" s="472"/>
      <c r="DA178" s="472"/>
      <c r="DB178" s="472"/>
      <c r="DC178" s="38"/>
      <c r="DD178" s="38"/>
      <c r="DE178" s="80"/>
      <c r="DF178" s="14"/>
      <c r="DG178" s="14"/>
      <c r="DH178" s="80"/>
      <c r="DI178" s="80"/>
      <c r="DJ178" s="80"/>
      <c r="DK178" s="94"/>
      <c r="DL178" s="94"/>
      <c r="DM178" s="94"/>
      <c r="DN178" s="94"/>
      <c r="DO178" s="94"/>
      <c r="DP178" s="80"/>
      <c r="DQ178" s="94"/>
      <c r="DR178" s="94"/>
      <c r="DS178" s="94"/>
    </row>
    <row r="179" spans="1:123" ht="14" thickBot="1" x14ac:dyDescent="0.2">
      <c r="A179" s="95"/>
      <c r="B179" s="42" t="s">
        <v>705</v>
      </c>
      <c r="C179" s="44"/>
      <c r="D179" s="44"/>
      <c r="E179" s="44"/>
      <c r="F179" s="44"/>
      <c r="G179" s="309"/>
      <c r="H179" s="309"/>
      <c r="I179" s="309"/>
      <c r="J179" s="309"/>
      <c r="K179" s="310"/>
      <c r="L179" s="309"/>
      <c r="M179" s="44"/>
      <c r="N179" s="44"/>
      <c r="O179" s="44"/>
      <c r="P179" s="44"/>
      <c r="Q179" s="44"/>
      <c r="R179" s="44"/>
      <c r="S179" s="44"/>
      <c r="T179" s="44"/>
      <c r="U179" s="309"/>
      <c r="V179" s="309"/>
      <c r="W179" s="309"/>
      <c r="X179" s="309"/>
      <c r="Y179" s="44"/>
      <c r="Z179" s="44"/>
      <c r="AA179" s="309"/>
      <c r="AB179" s="309"/>
      <c r="AC179" s="309"/>
      <c r="AD179" s="309"/>
      <c r="AE179" s="309"/>
      <c r="AF179" s="309"/>
      <c r="AG179" s="44"/>
      <c r="AH179" s="44"/>
      <c r="AI179" s="309"/>
      <c r="AJ179" s="309"/>
      <c r="AK179" s="309"/>
      <c r="AL179" s="309"/>
      <c r="AM179" s="296" t="s">
        <v>578</v>
      </c>
      <c r="AN179" s="44"/>
      <c r="AO179" s="309"/>
      <c r="AP179" s="309"/>
      <c r="AQ179" s="309"/>
      <c r="AR179" s="309"/>
      <c r="AS179" s="44"/>
      <c r="AT179" s="44"/>
      <c r="AU179" s="309"/>
      <c r="AV179" s="309"/>
      <c r="AW179" s="309"/>
      <c r="AX179" s="309"/>
      <c r="AY179" s="44"/>
      <c r="AZ179" s="44"/>
      <c r="BA179" s="309"/>
      <c r="BB179" s="309"/>
      <c r="BC179" s="309"/>
      <c r="BD179" s="309"/>
      <c r="BE179" s="309"/>
      <c r="BF179" s="309"/>
      <c r="BG179" s="309"/>
      <c r="BH179" s="309"/>
      <c r="BI179" s="309"/>
      <c r="BJ179" s="309"/>
      <c r="BK179" s="309"/>
      <c r="BL179" s="309"/>
      <c r="BM179" s="295"/>
      <c r="BN179" s="295"/>
      <c r="BO179" s="100"/>
      <c r="BP179" s="100"/>
      <c r="BQ179" s="100"/>
      <c r="BR179" s="100"/>
      <c r="BS179" s="100"/>
      <c r="BT179" s="760"/>
      <c r="BU179" s="760"/>
      <c r="BV179" s="310"/>
      <c r="BW179" s="766"/>
      <c r="BX179" s="91"/>
      <c r="BY179" s="38"/>
      <c r="BZ179" s="113"/>
      <c r="CA179" s="38"/>
      <c r="CB179" s="38"/>
      <c r="CC179" s="38"/>
      <c r="CD179" s="38"/>
      <c r="CE179" s="38"/>
      <c r="CF179" s="38"/>
      <c r="CG179" s="38"/>
      <c r="CH179" s="38"/>
      <c r="CI179" s="38"/>
      <c r="CJ179" s="38"/>
      <c r="CK179" s="38"/>
      <c r="CL179" s="38"/>
      <c r="CM179" s="38"/>
      <c r="CN179" s="38"/>
      <c r="CO179" s="38"/>
      <c r="CP179" s="38"/>
      <c r="CQ179" s="38"/>
      <c r="CR179" s="38"/>
      <c r="CS179" s="38"/>
      <c r="CT179" s="38"/>
      <c r="CU179" s="113"/>
      <c r="CV179" s="113"/>
      <c r="CW179" s="113"/>
      <c r="CX179" s="113"/>
      <c r="CY179" s="472"/>
      <c r="CZ179" s="472"/>
      <c r="DA179" s="472"/>
      <c r="DB179" s="472"/>
      <c r="DC179" s="38"/>
      <c r="DD179" s="38"/>
      <c r="DE179" s="795" t="s">
        <v>18</v>
      </c>
      <c r="DF179" s="592" t="s">
        <v>18</v>
      </c>
      <c r="DG179" s="592" t="s">
        <v>18</v>
      </c>
      <c r="DH179" s="80"/>
      <c r="DI179" s="80"/>
      <c r="DJ179" s="80"/>
      <c r="DK179" s="94"/>
      <c r="DL179" s="94"/>
      <c r="DM179" s="94"/>
      <c r="DN179" s="94"/>
      <c r="DO179" s="94"/>
      <c r="DP179" s="80"/>
      <c r="DQ179" s="961" t="s">
        <v>18</v>
      </c>
      <c r="DR179" s="962" t="s">
        <v>313</v>
      </c>
      <c r="DS179" s="962" t="s">
        <v>18</v>
      </c>
    </row>
    <row r="180" spans="1:123" x14ac:dyDescent="0.15">
      <c r="A180" s="14"/>
      <c r="B180" s="13" t="s">
        <v>18</v>
      </c>
      <c r="G180" s="487"/>
      <c r="H180" s="487"/>
      <c r="I180" s="487"/>
      <c r="J180" s="487"/>
      <c r="K180" s="471"/>
      <c r="L180" s="487"/>
      <c r="U180" s="487"/>
      <c r="V180" s="487"/>
      <c r="W180" s="487"/>
      <c r="X180" s="487"/>
      <c r="AA180" s="487"/>
      <c r="AB180" s="487"/>
      <c r="AC180" s="487"/>
      <c r="AD180" s="487"/>
      <c r="AE180" s="487"/>
      <c r="AF180" s="487"/>
      <c r="AI180" s="487"/>
      <c r="AJ180" s="487"/>
      <c r="AK180" s="487"/>
      <c r="AL180" s="487"/>
      <c r="AN180" s="3"/>
      <c r="AO180" s="3"/>
      <c r="AP180" s="3"/>
      <c r="AQ180" s="487"/>
      <c r="AR180" s="487"/>
      <c r="AU180" s="487"/>
      <c r="AV180" s="487"/>
      <c r="AW180" s="487"/>
      <c r="AX180" s="487"/>
      <c r="BA180" s="487"/>
      <c r="BB180" s="487"/>
      <c r="BC180" s="487"/>
      <c r="BD180" s="487"/>
      <c r="BE180" s="487"/>
      <c r="BF180" s="487"/>
      <c r="BG180" s="487"/>
      <c r="BH180" s="487"/>
      <c r="BI180" s="487"/>
      <c r="BJ180" s="487"/>
      <c r="BK180" s="487"/>
      <c r="BL180" s="487"/>
      <c r="BM180" s="3"/>
      <c r="BN180" s="3"/>
      <c r="BO180" s="741"/>
      <c r="BP180" s="741"/>
      <c r="BQ180" s="741"/>
      <c r="BR180" s="741"/>
      <c r="BS180" s="741"/>
      <c r="BT180" s="9"/>
      <c r="BU180" s="9"/>
      <c r="BV180" s="471"/>
      <c r="BW180" s="769"/>
      <c r="BX180" s="91"/>
      <c r="BY180" s="38"/>
      <c r="BZ180" s="113"/>
      <c r="CA180" s="38"/>
      <c r="CB180" s="38"/>
      <c r="CC180" s="38"/>
      <c r="CD180" s="38"/>
      <c r="CE180" s="38"/>
      <c r="CF180" s="38"/>
      <c r="CG180" s="38"/>
      <c r="CH180" s="38"/>
      <c r="CI180" s="38"/>
      <c r="CJ180" s="38"/>
      <c r="CK180" s="38"/>
      <c r="CL180" s="38"/>
      <c r="CM180" s="38"/>
      <c r="CN180" s="38"/>
      <c r="CO180" s="38"/>
      <c r="CP180" s="38"/>
      <c r="CQ180" s="38"/>
      <c r="CR180" s="38"/>
      <c r="CS180" s="38"/>
      <c r="CT180" s="38"/>
      <c r="CU180" s="113"/>
      <c r="CV180" s="113"/>
      <c r="CW180" s="113"/>
      <c r="CX180" s="113"/>
      <c r="CY180" s="472"/>
      <c r="CZ180" s="472"/>
      <c r="DA180" s="472"/>
      <c r="DB180" s="472"/>
      <c r="DC180" s="38"/>
      <c r="DD180" s="38"/>
      <c r="DE180" s="80"/>
      <c r="DF180" s="14"/>
      <c r="DG180" s="14"/>
      <c r="DH180" s="80"/>
      <c r="DI180" s="80"/>
      <c r="DJ180" s="80"/>
      <c r="DK180" s="94"/>
      <c r="DL180" s="94"/>
      <c r="DM180" s="94"/>
      <c r="DN180" s="94"/>
      <c r="DO180" s="94"/>
      <c r="DP180" s="80"/>
      <c r="DQ180" s="94"/>
      <c r="DR180" s="94"/>
      <c r="DS180" s="94"/>
    </row>
    <row r="181" spans="1:123" x14ac:dyDescent="0.15">
      <c r="A181" s="2" t="s">
        <v>18</v>
      </c>
      <c r="G181" s="487"/>
      <c r="H181" s="487"/>
      <c r="I181" s="487"/>
      <c r="J181" s="487"/>
      <c r="K181" s="471"/>
      <c r="L181" s="487"/>
      <c r="U181" s="487"/>
      <c r="V181" s="487"/>
      <c r="W181" s="487"/>
      <c r="X181" s="487"/>
      <c r="AA181" s="487"/>
      <c r="AB181" s="487"/>
      <c r="AC181" s="487"/>
      <c r="AD181" s="487"/>
      <c r="AE181" s="487"/>
      <c r="AF181" s="487"/>
      <c r="AI181" s="487"/>
      <c r="AJ181" s="487"/>
      <c r="AK181" s="487"/>
      <c r="AL181" s="487"/>
      <c r="AO181" s="487"/>
      <c r="AP181" s="487"/>
      <c r="AQ181" s="487"/>
      <c r="AR181" s="487"/>
      <c r="AU181" s="487"/>
      <c r="AV181" s="487"/>
      <c r="AW181" s="487"/>
      <c r="AX181" s="487"/>
      <c r="BA181" s="487"/>
      <c r="BB181" s="487"/>
      <c r="BC181" s="487"/>
      <c r="BD181" s="487"/>
      <c r="BE181" s="487"/>
      <c r="BF181" s="487"/>
      <c r="BG181" s="487"/>
      <c r="BH181" s="487"/>
      <c r="BI181" s="487"/>
      <c r="BJ181" s="487"/>
      <c r="BK181" s="487"/>
      <c r="BL181" s="487"/>
      <c r="BM181" s="3"/>
      <c r="BN181" s="3"/>
      <c r="BO181" s="741"/>
      <c r="BP181" s="741"/>
      <c r="BQ181" s="741"/>
      <c r="BR181" s="741"/>
      <c r="BS181" s="741"/>
      <c r="BT181" s="9"/>
      <c r="BU181" s="9"/>
      <c r="BV181" s="471"/>
      <c r="BW181" s="770"/>
      <c r="BX181" s="91"/>
      <c r="BY181" s="38"/>
      <c r="BZ181" s="113"/>
      <c r="CA181" s="38"/>
      <c r="CB181" s="38"/>
      <c r="CC181" s="38"/>
      <c r="CD181" s="38"/>
      <c r="CE181" s="38"/>
      <c r="CF181" s="38"/>
      <c r="CG181" s="38"/>
      <c r="CH181" s="38"/>
      <c r="CI181" s="38"/>
      <c r="CJ181" s="38"/>
      <c r="CK181" s="38"/>
      <c r="CL181" s="38"/>
      <c r="CM181" s="38"/>
      <c r="CN181" s="38"/>
      <c r="CO181" s="38"/>
      <c r="CP181" s="38"/>
      <c r="CQ181" s="38"/>
      <c r="CR181" s="38"/>
      <c r="CS181" s="38"/>
      <c r="CT181" s="38"/>
      <c r="CU181" s="113"/>
      <c r="CV181" s="113"/>
      <c r="CW181" s="113"/>
      <c r="CX181" s="113"/>
      <c r="CY181" s="472"/>
      <c r="CZ181" s="472"/>
      <c r="DA181" s="472"/>
      <c r="DB181" s="472"/>
      <c r="DC181" s="38"/>
      <c r="DD181" s="38"/>
      <c r="DE181" s="91" t="s">
        <v>18</v>
      </c>
      <c r="DF181" s="64" t="s">
        <v>18</v>
      </c>
      <c r="DG181" s="14"/>
      <c r="DH181" s="80"/>
      <c r="DI181" s="80"/>
      <c r="DJ181" s="80"/>
      <c r="DK181" s="94"/>
      <c r="DL181" s="94"/>
      <c r="DM181" s="94"/>
      <c r="DN181" s="94"/>
      <c r="DO181" s="94"/>
      <c r="DP181" s="80"/>
      <c r="DQ181" s="94"/>
      <c r="DR181" s="94"/>
      <c r="DS181" s="94"/>
    </row>
    <row r="182" spans="1:123" ht="14" thickBot="1" x14ac:dyDescent="0.2">
      <c r="B182" s="1" t="s">
        <v>352</v>
      </c>
      <c r="C182" s="13" t="s">
        <v>95</v>
      </c>
      <c r="D182" s="13" t="s">
        <v>96</v>
      </c>
      <c r="E182" s="84" t="s">
        <v>297</v>
      </c>
      <c r="F182" s="84" t="s">
        <v>714</v>
      </c>
      <c r="G182" s="84"/>
      <c r="I182" t="s">
        <v>18</v>
      </c>
      <c r="P182" t="s">
        <v>18</v>
      </c>
      <c r="AA182" s="2" t="s">
        <v>18</v>
      </c>
      <c r="AB182" s="2" t="s">
        <v>18</v>
      </c>
      <c r="AG182" s="2" t="s">
        <v>18</v>
      </c>
      <c r="AH182" s="2" t="s">
        <v>18</v>
      </c>
      <c r="BW182" s="94"/>
      <c r="BX182" s="91" t="s">
        <v>445</v>
      </c>
      <c r="BY182" s="38">
        <v>20</v>
      </c>
      <c r="BZ182" s="38">
        <f>+BY182*0.3048</f>
        <v>6.0960000000000001</v>
      </c>
      <c r="CA182" s="113">
        <v>20</v>
      </c>
      <c r="CB182" s="38">
        <f t="shared" si="24"/>
        <v>6.0960000000000001</v>
      </c>
      <c r="CC182" s="38"/>
      <c r="CD182" s="38"/>
      <c r="CE182" s="38">
        <f>+Q175*CA182</f>
        <v>1640</v>
      </c>
      <c r="CF182" s="38">
        <f t="shared" si="26"/>
        <v>499.87200000000001</v>
      </c>
      <c r="CG182" s="38"/>
      <c r="CH182" s="38"/>
      <c r="CI182" s="38"/>
      <c r="CJ182" s="38"/>
      <c r="CK182" s="38"/>
      <c r="CL182" s="38"/>
      <c r="CM182" s="38"/>
      <c r="CN182" s="38"/>
      <c r="CO182" s="38"/>
      <c r="CP182" s="38"/>
      <c r="CQ182" s="38"/>
      <c r="CR182" s="38"/>
      <c r="CS182" s="38"/>
      <c r="CT182" s="38"/>
      <c r="CU182" s="38">
        <v>40</v>
      </c>
      <c r="CV182" s="38"/>
      <c r="CW182" s="38">
        <f>+CU182*10</f>
        <v>400</v>
      </c>
      <c r="CX182" s="38">
        <f t="shared" ref="CX182:CX187" si="29">+CW182*0.3048</f>
        <v>121.92</v>
      </c>
      <c r="CY182" s="38"/>
      <c r="CZ182" s="38"/>
      <c r="DA182" s="38"/>
      <c r="DB182" s="38"/>
      <c r="DC182" s="38"/>
      <c r="DD182" s="38"/>
      <c r="DE182" s="211"/>
      <c r="DF182" s="38"/>
      <c r="DG182" s="38"/>
      <c r="DH182" s="211"/>
      <c r="DI182" s="211"/>
      <c r="DJ182" s="211"/>
      <c r="DK182" s="130"/>
      <c r="DL182" s="130"/>
      <c r="DM182" s="130"/>
      <c r="DN182" s="94"/>
      <c r="DO182" s="94"/>
      <c r="DP182" s="80"/>
      <c r="DQ182" s="94"/>
      <c r="DR182" s="94"/>
      <c r="DS182" s="94"/>
    </row>
    <row r="183" spans="1:123" x14ac:dyDescent="0.15">
      <c r="B183" s="48" t="s">
        <v>126</v>
      </c>
      <c r="C183" s="479">
        <f>+AA177</f>
        <v>126411.15</v>
      </c>
      <c r="D183" s="105">
        <f>+(C183*0.3048)</f>
        <v>38530.118520000004</v>
      </c>
      <c r="E183" s="723">
        <f>+D183/D203</f>
        <v>0.56075038107368247</v>
      </c>
      <c r="F183" s="87"/>
      <c r="G183" s="83"/>
      <c r="H183" t="s">
        <v>18</v>
      </c>
      <c r="J183" t="s">
        <v>18</v>
      </c>
      <c r="L183" t="s">
        <v>18</v>
      </c>
      <c r="Q183" t="s">
        <v>18</v>
      </c>
      <c r="W183" t="s">
        <v>18</v>
      </c>
      <c r="AA183" s="2" t="s">
        <v>18</v>
      </c>
      <c r="AG183" s="2" t="s">
        <v>18</v>
      </c>
      <c r="BW183" s="94"/>
      <c r="BX183" s="91" t="s">
        <v>573</v>
      </c>
      <c r="BY183" s="38"/>
      <c r="BZ183" s="38"/>
      <c r="CA183" s="113">
        <v>11</v>
      </c>
      <c r="CB183" s="38">
        <f t="shared" si="24"/>
        <v>3.3528000000000002</v>
      </c>
      <c r="CC183" s="38"/>
      <c r="CD183" s="38"/>
      <c r="CE183" s="38">
        <f>+Q175*CA183</f>
        <v>902</v>
      </c>
      <c r="CF183" s="38">
        <f t="shared" si="26"/>
        <v>274.92959999999999</v>
      </c>
      <c r="CG183" s="38"/>
      <c r="CH183" s="38"/>
      <c r="CI183" s="38"/>
      <c r="CJ183" s="38"/>
      <c r="CK183" s="38"/>
      <c r="CL183" s="38"/>
      <c r="CM183" s="38"/>
      <c r="CN183" s="38"/>
      <c r="CO183" s="38"/>
      <c r="CP183" s="38"/>
      <c r="CQ183" s="38"/>
      <c r="CR183" s="38"/>
      <c r="CS183" s="38"/>
      <c r="CT183" s="38"/>
      <c r="CU183" s="113">
        <v>25</v>
      </c>
      <c r="CV183" s="38">
        <f>+CU183*0.3048</f>
        <v>7.62</v>
      </c>
      <c r="CW183" s="38">
        <f>+CU183*11</f>
        <v>275</v>
      </c>
      <c r="CX183" s="38">
        <f t="shared" si="29"/>
        <v>83.820000000000007</v>
      </c>
      <c r="CY183" s="38"/>
      <c r="CZ183" s="113" t="s">
        <v>18</v>
      </c>
      <c r="DA183" s="38"/>
      <c r="DB183" s="38"/>
      <c r="DC183" s="38"/>
      <c r="DD183" s="38"/>
      <c r="DE183" s="211"/>
      <c r="DF183" s="38"/>
      <c r="DG183" s="38"/>
      <c r="DH183" s="211"/>
      <c r="DI183" s="211"/>
      <c r="DJ183" s="211"/>
      <c r="DK183" s="130"/>
      <c r="DL183" s="130"/>
      <c r="DM183" s="130"/>
      <c r="DN183" s="94"/>
      <c r="DO183" s="94"/>
      <c r="DP183" s="80"/>
      <c r="DQ183" s="94"/>
      <c r="DR183" s="94"/>
      <c r="DS183" s="94"/>
    </row>
    <row r="184" spans="1:123" x14ac:dyDescent="0.15">
      <c r="B184" s="107" t="s">
        <v>269</v>
      </c>
      <c r="C184" s="108">
        <f>+AQ175</f>
        <v>0</v>
      </c>
      <c r="D184" s="109">
        <f>+(C184*0.3048)</f>
        <v>0</v>
      </c>
      <c r="E184" s="724">
        <f>+D184/D203</f>
        <v>0</v>
      </c>
      <c r="F184" s="788">
        <v>0</v>
      </c>
      <c r="G184" s="136"/>
      <c r="S184" t="s">
        <v>18</v>
      </c>
      <c r="U184" t="s">
        <v>18</v>
      </c>
      <c r="V184" t="s">
        <v>18</v>
      </c>
      <c r="X184" t="s">
        <v>18</v>
      </c>
      <c r="AB184" t="s">
        <v>18</v>
      </c>
      <c r="AK184" t="s">
        <v>18</v>
      </c>
      <c r="AN184" t="s">
        <v>18</v>
      </c>
      <c r="BJ184" s="2" t="s">
        <v>18</v>
      </c>
      <c r="BW184" s="94"/>
      <c r="BX184" s="91" t="s">
        <v>442</v>
      </c>
      <c r="BY184" s="38">
        <v>20</v>
      </c>
      <c r="BZ184" s="38">
        <f>+BY184*0.3048</f>
        <v>6.0960000000000001</v>
      </c>
      <c r="CA184" s="113">
        <v>20</v>
      </c>
      <c r="CB184" s="38">
        <f t="shared" si="24"/>
        <v>6.0960000000000001</v>
      </c>
      <c r="CC184" s="38"/>
      <c r="CD184" s="38"/>
      <c r="CE184" s="38">
        <f>+Q175*CA184</f>
        <v>1640</v>
      </c>
      <c r="CF184" s="38">
        <f t="shared" si="26"/>
        <v>499.87200000000001</v>
      </c>
      <c r="CG184" s="38"/>
      <c r="CH184" s="38"/>
      <c r="CI184" s="38"/>
      <c r="CJ184" s="38"/>
      <c r="CK184" s="38"/>
      <c r="CL184" s="38"/>
      <c r="CM184" s="38"/>
      <c r="CN184" s="38"/>
      <c r="CO184" s="38"/>
      <c r="CP184" s="38"/>
      <c r="CQ184" s="38"/>
      <c r="CR184" s="38"/>
      <c r="CS184" s="38"/>
      <c r="CT184" s="38"/>
      <c r="CU184" s="38">
        <v>50</v>
      </c>
      <c r="CV184" s="38"/>
      <c r="CW184" s="38">
        <f>+CU184*10</f>
        <v>500</v>
      </c>
      <c r="CX184" s="38">
        <f t="shared" si="29"/>
        <v>152.4</v>
      </c>
      <c r="CY184" s="38"/>
      <c r="CZ184" s="113" t="s">
        <v>18</v>
      </c>
      <c r="DA184" s="38"/>
      <c r="DB184" s="38"/>
      <c r="DC184" s="38"/>
      <c r="DD184" s="38"/>
      <c r="DE184" s="80"/>
      <c r="DF184" s="38"/>
      <c r="DG184" s="38"/>
      <c r="DH184" s="211"/>
      <c r="DI184" s="211"/>
      <c r="DJ184" s="211"/>
      <c r="DK184" s="130"/>
      <c r="DL184" s="130"/>
      <c r="DM184" s="130"/>
      <c r="DN184" s="94"/>
      <c r="DO184" s="94"/>
      <c r="DP184" s="80"/>
      <c r="DQ184" s="94"/>
      <c r="DR184" s="94"/>
      <c r="DS184" s="94"/>
    </row>
    <row r="185" spans="1:123" x14ac:dyDescent="0.15">
      <c r="B185" s="107" t="s">
        <v>270</v>
      </c>
      <c r="C185" s="108">
        <f>+C183-C184</f>
        <v>126411.15</v>
      </c>
      <c r="D185" s="109">
        <f>+(C185*0.3048)</f>
        <v>38530.118520000004</v>
      </c>
      <c r="E185" s="724">
        <f>+D185/D203</f>
        <v>0.56075038107368247</v>
      </c>
      <c r="F185" s="788">
        <v>0.56075038107368247</v>
      </c>
      <c r="G185" s="136"/>
      <c r="R185" t="s">
        <v>18</v>
      </c>
      <c r="W185" t="s">
        <v>18</v>
      </c>
      <c r="AB185" t="s">
        <v>18</v>
      </c>
      <c r="AJ185" t="s">
        <v>18</v>
      </c>
      <c r="AK185" t="s">
        <v>18</v>
      </c>
      <c r="AO185" t="s">
        <v>18</v>
      </c>
      <c r="BR185" s="2"/>
      <c r="BS185" s="2"/>
      <c r="BV185" t="s">
        <v>18</v>
      </c>
      <c r="BW185" s="94"/>
      <c r="BX185" s="91" t="s">
        <v>541</v>
      </c>
      <c r="BY185" s="38"/>
      <c r="BZ185" s="38"/>
      <c r="CA185" s="38">
        <v>11</v>
      </c>
      <c r="CB185" s="38">
        <f t="shared" si="24"/>
        <v>3.3528000000000002</v>
      </c>
      <c r="CC185" s="38"/>
      <c r="CD185" s="38"/>
      <c r="CE185" s="38">
        <f>+Q176*CA185</f>
        <v>726</v>
      </c>
      <c r="CF185" s="38">
        <f t="shared" si="26"/>
        <v>221.28480000000002</v>
      </c>
      <c r="CG185" s="113" t="s">
        <v>18</v>
      </c>
      <c r="CH185" s="38"/>
      <c r="CI185" s="38"/>
      <c r="CJ185" s="38"/>
      <c r="CK185" s="38"/>
      <c r="CL185" s="38"/>
      <c r="CM185" s="38"/>
      <c r="CN185" s="38"/>
      <c r="CO185" s="38"/>
      <c r="CP185" s="38"/>
      <c r="CQ185" s="38"/>
      <c r="CR185" s="38"/>
      <c r="CS185" s="38"/>
      <c r="CT185" s="38"/>
      <c r="CU185" s="38">
        <v>25</v>
      </c>
      <c r="CV185" s="38">
        <f>+CU185*0.3048</f>
        <v>7.62</v>
      </c>
      <c r="CW185" s="38">
        <f>+CU185*11</f>
        <v>275</v>
      </c>
      <c r="CX185" s="38">
        <f t="shared" si="29"/>
        <v>83.820000000000007</v>
      </c>
      <c r="CY185" s="38"/>
      <c r="CZ185" s="38"/>
      <c r="DA185" s="38"/>
      <c r="DB185" s="38"/>
      <c r="DC185" s="38"/>
      <c r="DD185" s="38"/>
      <c r="DE185" s="80"/>
      <c r="DF185" s="38"/>
      <c r="DG185" s="38"/>
      <c r="DH185" s="211"/>
      <c r="DI185" s="211"/>
      <c r="DJ185" s="211"/>
      <c r="DK185" s="130"/>
      <c r="DL185" s="130"/>
      <c r="DM185" s="130"/>
      <c r="DN185" s="94"/>
      <c r="DO185" s="94"/>
      <c r="DP185" s="80"/>
      <c r="DQ185" s="94"/>
      <c r="DR185" s="94"/>
      <c r="DS185" s="94"/>
    </row>
    <row r="186" spans="1:123" ht="14" thickBot="1" x14ac:dyDescent="0.2">
      <c r="B186" s="107" t="s">
        <v>281</v>
      </c>
      <c r="C186" s="111">
        <f>+BT177</f>
        <v>1.7299999999999999E-2</v>
      </c>
      <c r="D186" s="109" t="s">
        <v>18</v>
      </c>
      <c r="E186" s="84"/>
      <c r="F186" s="788" t="s">
        <v>18</v>
      </c>
      <c r="G186" s="136"/>
      <c r="Q186" t="s">
        <v>18</v>
      </c>
      <c r="AN186" t="s">
        <v>18</v>
      </c>
      <c r="BW186" s="94"/>
      <c r="BX186" s="417" t="s">
        <v>444</v>
      </c>
      <c r="BY186" s="174">
        <v>20</v>
      </c>
      <c r="BZ186" s="174">
        <f>+BY186*0.3048</f>
        <v>6.0960000000000001</v>
      </c>
      <c r="CA186" s="174">
        <v>20</v>
      </c>
      <c r="CB186" s="174">
        <f t="shared" si="24"/>
        <v>6.0960000000000001</v>
      </c>
      <c r="CC186" s="174"/>
      <c r="CD186" s="174"/>
      <c r="CE186" s="174">
        <f>+Q176*CA186</f>
        <v>1320</v>
      </c>
      <c r="CF186" s="174">
        <f t="shared" si="26"/>
        <v>402.33600000000001</v>
      </c>
      <c r="CG186" s="174"/>
      <c r="CH186" s="174"/>
      <c r="CI186" s="174"/>
      <c r="CJ186" s="174"/>
      <c r="CK186" s="174"/>
      <c r="CL186" s="174"/>
      <c r="CM186" s="174"/>
      <c r="CN186" s="174"/>
      <c r="CO186" s="174"/>
      <c r="CP186" s="174"/>
      <c r="CQ186" s="174"/>
      <c r="CR186" s="174"/>
      <c r="CS186" s="174"/>
      <c r="CT186" s="174"/>
      <c r="CU186" s="174"/>
      <c r="CV186" s="174"/>
      <c r="CW186" s="174">
        <f>SUM(CW172:CW185)</f>
        <v>1510</v>
      </c>
      <c r="CX186" s="174">
        <f t="shared" si="29"/>
        <v>460.24800000000005</v>
      </c>
      <c r="CY186" s="174"/>
      <c r="CZ186" s="175" t="s">
        <v>18</v>
      </c>
      <c r="DA186" s="174"/>
      <c r="DB186" s="174"/>
      <c r="DC186" s="174"/>
      <c r="DD186" s="174"/>
      <c r="DE186" s="80"/>
      <c r="DF186" s="38"/>
      <c r="DG186" s="38"/>
      <c r="DH186" s="568"/>
      <c r="DI186" s="568"/>
      <c r="DJ186" s="568"/>
      <c r="DK186" s="623"/>
      <c r="DL186" s="623"/>
      <c r="DM186" s="623"/>
      <c r="DN186" s="95"/>
      <c r="DO186" s="95"/>
      <c r="DP186" s="82"/>
      <c r="DQ186" s="95"/>
      <c r="DR186" s="95"/>
      <c r="DS186" s="95"/>
    </row>
    <row r="187" spans="1:123" ht="14" thickBot="1" x14ac:dyDescent="0.2">
      <c r="B187" s="107" t="s">
        <v>278</v>
      </c>
      <c r="C187" s="108">
        <f>+C186*C185</f>
        <v>2186.9128949999999</v>
      </c>
      <c r="D187" s="109">
        <f>+(C187*0.3048)</f>
        <v>666.57105039600003</v>
      </c>
      <c r="E187" s="489">
        <f>+D187/D203</f>
        <v>9.7009815925747055E-3</v>
      </c>
      <c r="F187" s="788"/>
      <c r="G187" s="136"/>
      <c r="AA187" t="s">
        <v>18</v>
      </c>
      <c r="AJ187" t="s">
        <v>18</v>
      </c>
      <c r="BQ187" s="2"/>
      <c r="BW187" s="47" t="s">
        <v>68</v>
      </c>
      <c r="BX187" s="86"/>
      <c r="BY187" s="575">
        <f>SUM(BY172:BY186)</f>
        <v>120</v>
      </c>
      <c r="BZ187" s="575">
        <f>+BY187*0.3048</f>
        <v>36.576000000000001</v>
      </c>
      <c r="CA187" s="575">
        <f>SUM(CA172:CA186)</f>
        <v>186</v>
      </c>
      <c r="CB187" s="575">
        <f t="shared" si="24"/>
        <v>56.692800000000005</v>
      </c>
      <c r="CC187" s="575">
        <f>+AG177*BY187</f>
        <v>25380</v>
      </c>
      <c r="CD187" s="575">
        <f>+CC187*0.3048</f>
        <v>7735.8240000000005</v>
      </c>
      <c r="CE187" s="575">
        <f>SUM(CE172:CE186)</f>
        <v>10435</v>
      </c>
      <c r="CF187" s="575">
        <f>SUM(CF172:CF186)</f>
        <v>3180.5879999999997</v>
      </c>
      <c r="CG187" s="575">
        <f>++CC187+CE187</f>
        <v>35815</v>
      </c>
      <c r="CH187" s="575">
        <f>+CG187*0.3048</f>
        <v>10916.412</v>
      </c>
      <c r="CI187" s="575">
        <v>0</v>
      </c>
      <c r="CJ187" s="575">
        <v>0</v>
      </c>
      <c r="CK187" s="575">
        <v>0</v>
      </c>
      <c r="CL187" s="575">
        <v>0</v>
      </c>
      <c r="CM187" s="575">
        <v>0</v>
      </c>
      <c r="CN187" s="575">
        <v>0</v>
      </c>
      <c r="CO187" s="575">
        <v>0</v>
      </c>
      <c r="CP187" s="575">
        <v>0</v>
      </c>
      <c r="CQ187" s="575">
        <v>0</v>
      </c>
      <c r="CR187" s="575">
        <v>0</v>
      </c>
      <c r="CS187" s="575">
        <v>0</v>
      </c>
      <c r="CT187" s="575">
        <v>0</v>
      </c>
      <c r="CU187" s="575">
        <f>SUM(CU172:CU185)</f>
        <v>146</v>
      </c>
      <c r="CV187" s="575">
        <f>+CU187*0.3048</f>
        <v>44.500800000000005</v>
      </c>
      <c r="CW187" s="575">
        <f>SUM(CW173:CW186)</f>
        <v>2960</v>
      </c>
      <c r="CX187" s="575">
        <f t="shared" si="29"/>
        <v>902.20800000000008</v>
      </c>
      <c r="CY187" s="575">
        <v>1376.7300000000002</v>
      </c>
      <c r="CZ187" s="575">
        <v>419.62730400000004</v>
      </c>
      <c r="DA187" s="575">
        <v>1214.8</v>
      </c>
      <c r="DB187" s="575">
        <v>370.27104000000003</v>
      </c>
      <c r="DC187" s="575">
        <v>2591.5300000000002</v>
      </c>
      <c r="DD187" s="575">
        <v>789.89834400000007</v>
      </c>
      <c r="DE187" s="590">
        <v>654</v>
      </c>
      <c r="DF187" s="575">
        <f>+DE187/BG177</f>
        <v>1257.6923076923076</v>
      </c>
      <c r="DG187" s="575">
        <f>+DE187/BH177</f>
        <v>781.493768698493</v>
      </c>
      <c r="DH187" s="949">
        <v>922</v>
      </c>
      <c r="DI187" s="949">
        <f>+DH187/BG177</f>
        <v>1773.0769230769231</v>
      </c>
      <c r="DJ187" s="949">
        <f>+DH187/BH177</f>
        <v>1101.7389216208112</v>
      </c>
      <c r="DK187" s="950">
        <v>1567.8</v>
      </c>
      <c r="DL187" s="950">
        <f>+DK187/BG177</f>
        <v>3015</v>
      </c>
      <c r="DM187" s="950">
        <f>+DK187/BH177</f>
        <v>1873.4341445955617</v>
      </c>
      <c r="DN187" s="950">
        <v>322.39999999999998</v>
      </c>
      <c r="DO187" s="950">
        <f>+DN187/BG177</f>
        <v>619.99999999999989</v>
      </c>
      <c r="DP187" s="950">
        <f>+DN187/BH177</f>
        <v>385.250139187147</v>
      </c>
      <c r="DQ187" s="946">
        <v>28</v>
      </c>
      <c r="DR187" s="950">
        <f>+DQ187/BG177</f>
        <v>53.846153846153847</v>
      </c>
      <c r="DS187" s="950">
        <f>+DQ187/BH177</f>
        <v>33.458448812779515</v>
      </c>
    </row>
    <row r="188" spans="1:123" ht="14" thickBot="1" x14ac:dyDescent="0.2">
      <c r="B188" s="107" t="s">
        <v>351</v>
      </c>
      <c r="C188" s="113">
        <f>+BC175</f>
        <v>0</v>
      </c>
      <c r="D188" s="113">
        <f>+BD175</f>
        <v>0</v>
      </c>
      <c r="E188" s="489">
        <f>+D188/D203</f>
        <v>0</v>
      </c>
      <c r="F188" s="788"/>
      <c r="G188" s="136"/>
      <c r="AH188" s="2" t="s">
        <v>18</v>
      </c>
      <c r="AR188" s="2" t="s">
        <v>18</v>
      </c>
      <c r="BM188" s="2"/>
      <c r="BO188" s="2"/>
      <c r="BP188" s="2"/>
      <c r="BQ188" s="2"/>
      <c r="BW188" s="1" t="s">
        <v>18</v>
      </c>
      <c r="CB188" s="2" t="s">
        <v>18</v>
      </c>
      <c r="CE188" s="2" t="s">
        <v>18</v>
      </c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632" t="s">
        <v>705</v>
      </c>
      <c r="DE188" s="175" t="s">
        <v>762</v>
      </c>
      <c r="DF188" s="175" t="s">
        <v>765</v>
      </c>
      <c r="DG188" s="174"/>
      <c r="DH188" s="469"/>
      <c r="DI188" s="469"/>
      <c r="DJ188" s="469"/>
      <c r="DK188" s="938"/>
      <c r="DL188" s="938"/>
      <c r="DM188" s="938"/>
      <c r="DN188" s="934"/>
      <c r="DO188" s="934"/>
      <c r="DP188" s="934"/>
      <c r="DQ188" s="934"/>
      <c r="DR188" s="934"/>
      <c r="DS188" s="934"/>
    </row>
    <row r="189" spans="1:123" x14ac:dyDescent="0.15">
      <c r="B189" s="107" t="s">
        <v>273</v>
      </c>
      <c r="C189" s="113">
        <f>+CS175</f>
        <v>0</v>
      </c>
      <c r="D189" s="113">
        <f>+CT175</f>
        <v>0</v>
      </c>
      <c r="E189" s="489">
        <f>+D189/D203</f>
        <v>0</v>
      </c>
      <c r="F189" s="788"/>
      <c r="G189" s="136"/>
      <c r="H189" s="2" t="s">
        <v>18</v>
      </c>
      <c r="I189" s="14"/>
      <c r="J189" s="14"/>
      <c r="K189" s="14"/>
      <c r="AJ189" t="s">
        <v>18</v>
      </c>
      <c r="CE189" s="2" t="s">
        <v>18</v>
      </c>
    </row>
    <row r="190" spans="1:123" x14ac:dyDescent="0.15">
      <c r="B190" s="107" t="s">
        <v>272</v>
      </c>
      <c r="C190" s="114">
        <f>1-C186</f>
        <v>0.98270000000000002</v>
      </c>
      <c r="D190" s="111" t="s">
        <v>18</v>
      </c>
      <c r="E190" s="84"/>
      <c r="F190" s="788" t="s">
        <v>18</v>
      </c>
      <c r="G190" s="136"/>
      <c r="I190" s="64" t="s">
        <v>18</v>
      </c>
      <c r="J190" s="14"/>
      <c r="K190" s="14"/>
      <c r="AI190" s="2" t="s">
        <v>18</v>
      </c>
      <c r="BK190" s="2"/>
      <c r="BM190" s="6"/>
      <c r="BN190" s="2"/>
      <c r="CZ190" s="2" t="s">
        <v>18</v>
      </c>
    </row>
    <row r="191" spans="1:123" x14ac:dyDescent="0.15">
      <c r="B191" s="107" t="s">
        <v>271</v>
      </c>
      <c r="C191" s="109">
        <f>+C185*C190</f>
        <v>124224.23710499999</v>
      </c>
      <c r="D191" s="115">
        <f>+(C191*0.3048)</f>
        <v>37863.547469603996</v>
      </c>
      <c r="E191" s="703">
        <f>+D191/D203</f>
        <v>0.55104939948110765</v>
      </c>
      <c r="F191" s="788"/>
      <c r="G191" s="136"/>
      <c r="I191" s="14"/>
      <c r="J191" s="14"/>
      <c r="K191" s="14"/>
      <c r="Y191" t="s">
        <v>18</v>
      </c>
      <c r="BM191" s="6"/>
      <c r="BZ191" s="2" t="s">
        <v>18</v>
      </c>
      <c r="CB191" s="2" t="s">
        <v>18</v>
      </c>
    </row>
    <row r="192" spans="1:123" x14ac:dyDescent="0.15">
      <c r="B192" s="91" t="s">
        <v>273</v>
      </c>
      <c r="C192" s="109">
        <f>+CG187-CW187</f>
        <v>32855</v>
      </c>
      <c r="D192" s="109">
        <f>+(C192*0.3048)</f>
        <v>10014.204</v>
      </c>
      <c r="E192" s="489">
        <f>+D192/D203</f>
        <v>0.14574231600753443</v>
      </c>
      <c r="F192" s="788"/>
      <c r="G192" s="136"/>
      <c r="I192" s="14"/>
      <c r="J192" s="14"/>
      <c r="K192" s="14"/>
      <c r="V192" s="2" t="s">
        <v>18</v>
      </c>
      <c r="Y192" t="s">
        <v>18</v>
      </c>
      <c r="AN192" s="2" t="s">
        <v>18</v>
      </c>
      <c r="BK192" s="2"/>
      <c r="BM192" s="6"/>
      <c r="BZ192" s="2" t="s">
        <v>18</v>
      </c>
      <c r="DE192" s="40" t="s">
        <v>18</v>
      </c>
      <c r="DO192" s="859" t="s">
        <v>18</v>
      </c>
    </row>
    <row r="193" spans="2:114" x14ac:dyDescent="0.15">
      <c r="B193" s="107" t="s">
        <v>282</v>
      </c>
      <c r="C193" s="111">
        <f>+BU177</f>
        <v>2.0899999999999998E-2</v>
      </c>
      <c r="D193" s="111">
        <f>+BU175</f>
        <v>0</v>
      </c>
      <c r="E193" s="84"/>
      <c r="F193" s="788"/>
      <c r="G193" s="136"/>
      <c r="H193" s="14"/>
      <c r="I193" s="14"/>
      <c r="J193" s="64" t="s">
        <v>18</v>
      </c>
      <c r="K193" s="14"/>
      <c r="CG193" s="2" t="s">
        <v>18</v>
      </c>
      <c r="CZ193" s="2" t="s">
        <v>18</v>
      </c>
      <c r="DE193" s="3"/>
    </row>
    <row r="194" spans="2:114" x14ac:dyDescent="0.15">
      <c r="B194" s="91" t="s">
        <v>280</v>
      </c>
      <c r="C194" s="478">
        <f>+C185*C193</f>
        <v>2641.9930349999995</v>
      </c>
      <c r="D194" s="109">
        <f>+(C194*0.3048)</f>
        <v>805.27947706799989</v>
      </c>
      <c r="E194" s="489">
        <f>+D194/D203</f>
        <v>1.1719682964439961E-2</v>
      </c>
      <c r="F194" s="788"/>
      <c r="G194" s="136"/>
      <c r="H194" s="14"/>
      <c r="I194" s="14"/>
      <c r="J194" s="64"/>
      <c r="K194" s="14"/>
      <c r="Z194" t="s">
        <v>18</v>
      </c>
      <c r="AA194" s="2" t="s">
        <v>18</v>
      </c>
      <c r="BM194" s="6"/>
      <c r="CA194" s="2" t="s">
        <v>18</v>
      </c>
      <c r="CF194" s="2" t="s">
        <v>18</v>
      </c>
    </row>
    <row r="195" spans="2:114" x14ac:dyDescent="0.15">
      <c r="B195" s="107" t="s">
        <v>274</v>
      </c>
      <c r="C195" s="109">
        <f>+C191-C192</f>
        <v>91369.237104999993</v>
      </c>
      <c r="D195" s="109">
        <f>+(C195*0.3048)</f>
        <v>27849.343469603999</v>
      </c>
      <c r="E195" s="489">
        <f>+D195/D203</f>
        <v>0.40530708347357325</v>
      </c>
      <c r="F195" s="788"/>
      <c r="G195" s="233" t="s">
        <v>18</v>
      </c>
      <c r="H195" s="14"/>
      <c r="I195" s="14"/>
      <c r="J195" s="14"/>
      <c r="K195" s="14"/>
      <c r="BM195" s="6"/>
      <c r="DG195" s="2" t="s">
        <v>18</v>
      </c>
    </row>
    <row r="196" spans="2:114" x14ac:dyDescent="0.15">
      <c r="B196" s="107" t="s">
        <v>275</v>
      </c>
      <c r="C196" s="109">
        <f>+K177+CW187</f>
        <v>51072.852200000001</v>
      </c>
      <c r="D196" s="109">
        <f>+(C196*0.3048)</f>
        <v>15567.005350560001</v>
      </c>
      <c r="E196" s="724">
        <f>+C196/C203</f>
        <v>0.22655534210130876</v>
      </c>
      <c r="F196" s="788">
        <v>0.22655534210130876</v>
      </c>
      <c r="G196" s="136"/>
      <c r="H196" s="64"/>
      <c r="I196" s="64"/>
      <c r="J196" s="38"/>
      <c r="K196" s="14"/>
      <c r="V196" s="2" t="s">
        <v>18</v>
      </c>
      <c r="AJ196" s="2" t="s">
        <v>18</v>
      </c>
      <c r="BM196" s="6"/>
    </row>
    <row r="197" spans="2:114" x14ac:dyDescent="0.15">
      <c r="B197" s="107" t="s">
        <v>276</v>
      </c>
      <c r="C197" s="109">
        <f>+C192+C196</f>
        <v>83927.852199999994</v>
      </c>
      <c r="D197" s="109">
        <f t="shared" ref="D197:D205" si="30">+(C197*0.3048)</f>
        <v>25581.209350559999</v>
      </c>
      <c r="E197" s="489">
        <f>+D197/D203</f>
        <v>0.37229765810884319</v>
      </c>
      <c r="F197" s="788"/>
      <c r="G197" s="136"/>
      <c r="H197" s="13"/>
      <c r="I197" s="64"/>
      <c r="J197" s="38"/>
      <c r="K197" s="14"/>
      <c r="O197" s="2" t="s">
        <v>18</v>
      </c>
      <c r="P197" t="s">
        <v>18</v>
      </c>
      <c r="BK197" s="2"/>
      <c r="DG197" s="2" t="s">
        <v>18</v>
      </c>
    </row>
    <row r="198" spans="2:114" x14ac:dyDescent="0.15">
      <c r="B198" s="107" t="s">
        <v>283</v>
      </c>
      <c r="C198" s="84">
        <f>+AW174</f>
        <v>0</v>
      </c>
      <c r="D198" s="109">
        <f t="shared" si="30"/>
        <v>0</v>
      </c>
      <c r="E198" s="772">
        <f>+D198/D203</f>
        <v>0</v>
      </c>
      <c r="F198" s="788">
        <v>0</v>
      </c>
      <c r="G198" s="136"/>
      <c r="H198" s="13"/>
      <c r="I198" s="64" t="s">
        <v>18</v>
      </c>
      <c r="J198" s="38"/>
      <c r="K198" s="14"/>
      <c r="O198" s="2" t="s">
        <v>18</v>
      </c>
      <c r="AD198" s="2" t="s">
        <v>18</v>
      </c>
      <c r="AE198" s="2"/>
      <c r="AF198" s="2"/>
      <c r="BM198" s="6"/>
    </row>
    <row r="199" spans="2:114" x14ac:dyDescent="0.15">
      <c r="B199" s="107" t="s">
        <v>277</v>
      </c>
      <c r="C199" s="84">
        <f>+C198+C194</f>
        <v>2641.9930349999995</v>
      </c>
      <c r="D199" s="109">
        <f t="shared" si="30"/>
        <v>805.27947706799989</v>
      </c>
      <c r="E199" s="489">
        <f>+D199/D203</f>
        <v>1.1719682964439961E-2</v>
      </c>
      <c r="F199" s="788"/>
      <c r="G199" s="136"/>
      <c r="H199" s="62"/>
      <c r="I199" s="64"/>
      <c r="J199" s="38"/>
      <c r="K199" s="14"/>
      <c r="S199" s="2" t="s">
        <v>18</v>
      </c>
      <c r="U199" s="2" t="s">
        <v>18</v>
      </c>
      <c r="W199" s="2" t="s">
        <v>18</v>
      </c>
      <c r="BM199" s="6"/>
    </row>
    <row r="200" spans="2:114" x14ac:dyDescent="0.15">
      <c r="B200" s="107" t="s">
        <v>284</v>
      </c>
      <c r="C200" s="108">
        <f>++C196+C198</f>
        <v>51072.852200000001</v>
      </c>
      <c r="D200" s="109">
        <f t="shared" si="30"/>
        <v>15567.005350560001</v>
      </c>
      <c r="E200" s="489">
        <f>+D200/D203</f>
        <v>0.22655534210130879</v>
      </c>
      <c r="F200" s="788"/>
      <c r="G200" s="136"/>
      <c r="H200" s="14"/>
      <c r="I200" s="64"/>
      <c r="J200" s="38"/>
      <c r="K200" s="14"/>
      <c r="L200" s="14"/>
      <c r="N200" t="s">
        <v>18</v>
      </c>
      <c r="U200" s="2" t="s">
        <v>18</v>
      </c>
      <c r="AN200" s="2" t="s">
        <v>18</v>
      </c>
      <c r="AQ200" s="2" t="s">
        <v>18</v>
      </c>
      <c r="BK200" s="2"/>
      <c r="BM200" s="6"/>
      <c r="DD200" s="2" t="s">
        <v>18</v>
      </c>
    </row>
    <row r="201" spans="2:114" x14ac:dyDescent="0.15">
      <c r="B201" s="107" t="s">
        <v>285</v>
      </c>
      <c r="C201" s="108">
        <f>++C197+C199</f>
        <v>86569.845234999986</v>
      </c>
      <c r="D201" s="109">
        <f t="shared" si="30"/>
        <v>26386.488827627996</v>
      </c>
      <c r="E201" s="489">
        <f>+D201/D203</f>
        <v>0.38401734107328311</v>
      </c>
      <c r="F201" s="788"/>
      <c r="G201" s="233" t="s">
        <v>18</v>
      </c>
      <c r="H201" s="14"/>
      <c r="I201" s="14"/>
      <c r="J201" s="14"/>
      <c r="K201" s="14"/>
      <c r="L201" s="14"/>
      <c r="S201" s="2" t="s">
        <v>18</v>
      </c>
      <c r="T201" t="s">
        <v>18</v>
      </c>
      <c r="U201" s="2" t="s">
        <v>18</v>
      </c>
      <c r="AH201" s="2" t="s">
        <v>18</v>
      </c>
      <c r="BM201" s="6"/>
    </row>
    <row r="202" spans="2:114" x14ac:dyDescent="0.15">
      <c r="B202" s="107" t="s">
        <v>296</v>
      </c>
      <c r="C202" s="117">
        <f>+BM177</f>
        <v>10783.302987650639</v>
      </c>
      <c r="D202" s="109">
        <f t="shared" si="30"/>
        <v>3286.7507506359148</v>
      </c>
      <c r="E202" s="489">
        <f>+D202/D203</f>
        <v>4.7833923348993133E-2</v>
      </c>
      <c r="F202" s="788">
        <v>4.7833923348993133E-2</v>
      </c>
      <c r="G202" s="136"/>
      <c r="H202" s="2" t="s">
        <v>18</v>
      </c>
      <c r="I202" s="64"/>
      <c r="J202" s="38"/>
      <c r="K202" s="38"/>
      <c r="L202" s="113"/>
      <c r="P202" s="2" t="s">
        <v>18</v>
      </c>
      <c r="W202" s="2" t="s">
        <v>18</v>
      </c>
      <c r="Z202" s="2" t="s">
        <v>18</v>
      </c>
      <c r="AH202" s="2"/>
      <c r="AI202" s="2"/>
      <c r="AM202" s="2"/>
      <c r="BM202" s="6"/>
    </row>
    <row r="203" spans="2:114" x14ac:dyDescent="0.15">
      <c r="B203" s="107" t="s">
        <v>287</v>
      </c>
      <c r="C203" s="60">
        <f>+U177</f>
        <v>225432.125</v>
      </c>
      <c r="D203" s="109">
        <f t="shared" si="30"/>
        <v>68711.7117</v>
      </c>
      <c r="E203" s="84"/>
      <c r="F203" s="788"/>
      <c r="G203" s="136"/>
      <c r="I203" s="64"/>
      <c r="J203" s="38"/>
      <c r="K203" s="38"/>
      <c r="L203" s="113"/>
      <c r="N203" s="2" t="s">
        <v>18</v>
      </c>
      <c r="U203" s="2" t="s">
        <v>18</v>
      </c>
      <c r="AB203" s="2" t="s">
        <v>18</v>
      </c>
      <c r="AI203" s="2"/>
      <c r="BM203" s="6"/>
    </row>
    <row r="204" spans="2:114" x14ac:dyDescent="0.15">
      <c r="B204" s="107" t="s">
        <v>300</v>
      </c>
      <c r="C204" s="60">
        <f>+(C203-C183-C202-C196-C188-C198)</f>
        <v>37164.819812349371</v>
      </c>
      <c r="D204" s="109">
        <f t="shared" si="30"/>
        <v>11327.837078804088</v>
      </c>
      <c r="E204" s="724">
        <f>+D204/D203</f>
        <v>0.16486035347601577</v>
      </c>
      <c r="F204" s="788">
        <v>0.16486035347601577</v>
      </c>
      <c r="G204" s="771"/>
      <c r="I204" s="14"/>
      <c r="J204" s="38"/>
      <c r="K204" s="38"/>
      <c r="L204" s="113"/>
      <c r="V204" t="s">
        <v>18</v>
      </c>
      <c r="AJ204" s="38"/>
      <c r="AM204" s="2"/>
      <c r="AR204" s="2" t="s">
        <v>18</v>
      </c>
      <c r="BM204" s="6"/>
      <c r="CX204" s="2" t="s">
        <v>18</v>
      </c>
    </row>
    <row r="205" spans="2:114" ht="14" thickBot="1" x14ac:dyDescent="0.2">
      <c r="B205" s="107" t="s">
        <v>49</v>
      </c>
      <c r="C205" s="60">
        <f>+BV177</f>
        <v>19749.272836248238</v>
      </c>
      <c r="D205" s="109">
        <f t="shared" si="30"/>
        <v>6019.5783604884627</v>
      </c>
      <c r="E205" s="489">
        <f>+D205/D203</f>
        <v>8.7606293185801432E-2</v>
      </c>
      <c r="F205" s="80"/>
      <c r="G205" s="136"/>
      <c r="I205" s="64"/>
      <c r="J205" s="38"/>
      <c r="K205" s="38"/>
      <c r="L205" s="113"/>
      <c r="Q205" s="2"/>
      <c r="R205" s="2"/>
      <c r="S205" s="2"/>
      <c r="AJ205" s="38"/>
      <c r="BM205" s="6"/>
      <c r="BS205" s="2"/>
    </row>
    <row r="206" spans="2:114" ht="14" thickBot="1" x14ac:dyDescent="0.2">
      <c r="B206" s="42" t="s">
        <v>587</v>
      </c>
      <c r="C206" s="714">
        <f>+DC177/BK177</f>
        <v>0.48304380242311279</v>
      </c>
      <c r="D206" s="714">
        <f>+DD177/BL177</f>
        <v>0.48304380242311273</v>
      </c>
      <c r="E206" s="716"/>
      <c r="F206" s="82"/>
      <c r="G206" s="136"/>
      <c r="I206" s="14"/>
      <c r="J206" s="38"/>
      <c r="K206" s="38"/>
      <c r="L206" s="113"/>
      <c r="N206" s="2" t="s">
        <v>18</v>
      </c>
      <c r="AJ206" s="38"/>
      <c r="BM206" s="2"/>
      <c r="BS206" s="2"/>
      <c r="DH206" s="2" t="s">
        <v>18</v>
      </c>
      <c r="DI206" s="2"/>
      <c r="DJ206" s="2"/>
    </row>
    <row r="207" spans="2:114" ht="14" thickBot="1" x14ac:dyDescent="0.2">
      <c r="B207" s="42" t="s">
        <v>715</v>
      </c>
      <c r="C207" s="44"/>
      <c r="D207" s="44"/>
      <c r="E207" s="44"/>
      <c r="F207" s="774">
        <f>SUM(F183:F205)</f>
        <v>1.0000000000000002</v>
      </c>
      <c r="G207" s="45"/>
      <c r="H207" s="2" t="s">
        <v>18</v>
      </c>
      <c r="J207" s="14"/>
      <c r="K207" s="38"/>
      <c r="L207" s="14"/>
      <c r="T207" t="s">
        <v>18</v>
      </c>
      <c r="AJ207" s="38"/>
      <c r="BI207" t="s">
        <v>18</v>
      </c>
      <c r="BM207" s="6"/>
    </row>
    <row r="208" spans="2:114" x14ac:dyDescent="0.15">
      <c r="B208" s="265" t="s">
        <v>705</v>
      </c>
      <c r="C208" s="755" t="s">
        <v>728</v>
      </c>
      <c r="D208" s="14"/>
      <c r="E208" s="14"/>
      <c r="F208" s="136"/>
      <c r="K208" s="38"/>
      <c r="AJ208" s="38"/>
    </row>
    <row r="209" spans="1:123" ht="14" thickBot="1" x14ac:dyDescent="0.2">
      <c r="B209" s="82"/>
      <c r="C209" s="189" t="s">
        <v>729</v>
      </c>
      <c r="D209" s="34"/>
      <c r="E209" s="34"/>
      <c r="F209" s="35"/>
      <c r="K209" s="38"/>
      <c r="DD209" s="757"/>
    </row>
    <row r="210" spans="1:123" ht="14" thickBot="1" x14ac:dyDescent="0.2">
      <c r="B210" s="14"/>
      <c r="C210" s="185"/>
      <c r="D210" s="14"/>
      <c r="E210" s="14"/>
      <c r="F210" s="14"/>
      <c r="K210" s="38"/>
      <c r="DD210" s="757"/>
    </row>
    <row r="211" spans="1:123" ht="14" thickBot="1" x14ac:dyDescent="0.2">
      <c r="A211" s="372"/>
      <c r="B211" s="257"/>
      <c r="C211" s="257"/>
      <c r="D211" s="257"/>
      <c r="E211" s="257"/>
      <c r="F211" s="257"/>
      <c r="G211" s="257"/>
      <c r="H211" s="257"/>
      <c r="I211" s="257"/>
      <c r="J211" s="257"/>
      <c r="K211" s="634"/>
      <c r="L211" s="257"/>
      <c r="M211" s="257"/>
      <c r="N211" s="257"/>
      <c r="O211" s="796" t="s">
        <v>18</v>
      </c>
      <c r="P211" s="257"/>
      <c r="Q211" s="257"/>
      <c r="R211" s="257"/>
      <c r="S211" s="257"/>
      <c r="T211" s="257"/>
      <c r="U211" s="257"/>
      <c r="V211" s="257"/>
      <c r="W211" s="257"/>
      <c r="X211" s="257"/>
      <c r="Y211" s="257"/>
      <c r="Z211" s="257"/>
      <c r="AA211" s="257"/>
      <c r="AB211" s="257"/>
      <c r="AC211" s="257"/>
      <c r="AD211" s="257"/>
      <c r="AE211" s="257"/>
      <c r="AF211" s="257"/>
      <c r="AG211" s="257"/>
      <c r="AH211" s="257"/>
      <c r="AI211" s="257"/>
      <c r="AJ211" s="257"/>
      <c r="AK211" s="257"/>
      <c r="AL211" s="257"/>
      <c r="AM211" s="257"/>
      <c r="AN211" s="257"/>
      <c r="AO211" s="257"/>
      <c r="AP211" s="257"/>
      <c r="AQ211" s="257"/>
      <c r="AR211" s="257"/>
      <c r="AS211" s="257"/>
      <c r="AT211" s="257"/>
      <c r="AU211" s="257"/>
      <c r="AV211" s="257"/>
      <c r="AW211" s="257"/>
      <c r="AX211" s="257"/>
      <c r="AY211" s="257"/>
      <c r="AZ211" s="257"/>
      <c r="BA211" s="257"/>
      <c r="BB211" s="257"/>
      <c r="BC211" s="257"/>
      <c r="BD211" s="257"/>
      <c r="BE211" s="257"/>
      <c r="BF211" s="257"/>
      <c r="BG211" s="257"/>
      <c r="BH211" s="257"/>
      <c r="BI211" s="257"/>
      <c r="BJ211" s="257"/>
      <c r="BK211" s="257"/>
      <c r="BL211" s="257"/>
      <c r="BM211" s="257"/>
      <c r="BN211" s="257"/>
      <c r="BO211" s="257"/>
      <c r="BP211" s="257"/>
      <c r="BQ211" s="257"/>
      <c r="BR211" s="257"/>
      <c r="BS211" s="257"/>
      <c r="BT211" s="257"/>
      <c r="BU211" s="257"/>
      <c r="BV211" s="257"/>
      <c r="BW211" s="257"/>
      <c r="BX211" s="257"/>
      <c r="BY211" s="257"/>
      <c r="BZ211" s="257"/>
      <c r="CA211" s="257"/>
      <c r="CB211" s="257"/>
      <c r="CC211" s="257"/>
      <c r="CD211" s="257"/>
      <c r="CE211" s="257"/>
      <c r="CF211" s="257"/>
      <c r="CG211" s="257"/>
      <c r="CH211" s="257"/>
      <c r="CI211" s="257"/>
      <c r="CJ211" s="257"/>
      <c r="CK211" s="257"/>
      <c r="CL211" s="257"/>
      <c r="CM211" s="257"/>
      <c r="CN211" s="257"/>
      <c r="CO211" s="257"/>
      <c r="CP211" s="257"/>
      <c r="CQ211" s="257"/>
      <c r="CR211" s="257"/>
      <c r="CS211" s="257"/>
      <c r="CT211" s="257"/>
      <c r="CU211" s="257"/>
      <c r="CV211" s="257"/>
      <c r="CW211" s="257"/>
      <c r="CX211" s="257"/>
      <c r="CY211" s="257"/>
      <c r="CZ211" s="257"/>
      <c r="DA211" s="257"/>
      <c r="DB211" s="257"/>
      <c r="DC211" s="257"/>
      <c r="DD211" s="373"/>
      <c r="DE211" s="372"/>
      <c r="DF211" s="257"/>
      <c r="DG211" s="373"/>
      <c r="DH211" s="933"/>
      <c r="DI211" s="933"/>
      <c r="DJ211" s="933"/>
      <c r="DK211" s="937"/>
      <c r="DL211" s="937"/>
      <c r="DM211" s="937"/>
      <c r="DN211" s="937"/>
      <c r="DO211" s="937"/>
      <c r="DP211" s="937"/>
      <c r="DQ211" s="937"/>
      <c r="DR211" s="937"/>
      <c r="DS211" s="937"/>
    </row>
    <row r="212" spans="1:123" x14ac:dyDescent="0.15">
      <c r="A212" s="46" t="s">
        <v>0</v>
      </c>
      <c r="B212" s="32" t="s">
        <v>42</v>
      </c>
      <c r="C212" s="32" t="s">
        <v>46</v>
      </c>
      <c r="D212" s="32" t="s">
        <v>48</v>
      </c>
      <c r="E212" s="32" t="s">
        <v>47</v>
      </c>
      <c r="F212" s="32" t="s">
        <v>48</v>
      </c>
      <c r="G212" s="32" t="s">
        <v>251</v>
      </c>
      <c r="H212" s="32" t="s">
        <v>252</v>
      </c>
      <c r="I212" s="32" t="s">
        <v>251</v>
      </c>
      <c r="J212" s="32" t="s">
        <v>252</v>
      </c>
      <c r="K212" s="32" t="s">
        <v>125</v>
      </c>
      <c r="L212" s="32" t="s">
        <v>125</v>
      </c>
      <c r="M212" s="32" t="s">
        <v>62</v>
      </c>
      <c r="N212" s="32" t="s">
        <v>62</v>
      </c>
      <c r="O212" s="32" t="s">
        <v>127</v>
      </c>
      <c r="P212" s="32" t="s">
        <v>127</v>
      </c>
      <c r="Q212" s="32" t="s">
        <v>44</v>
      </c>
      <c r="R212" s="32" t="s">
        <v>44</v>
      </c>
      <c r="S212" s="32" t="s">
        <v>45</v>
      </c>
      <c r="T212" s="32" t="s">
        <v>45</v>
      </c>
      <c r="U212" s="32" t="s">
        <v>333</v>
      </c>
      <c r="V212" s="32" t="s">
        <v>333</v>
      </c>
      <c r="W212" s="32" t="s">
        <v>44</v>
      </c>
      <c r="X212" s="32" t="s">
        <v>44</v>
      </c>
      <c r="Y212" s="32" t="s">
        <v>267</v>
      </c>
      <c r="Z212" s="32" t="s">
        <v>267</v>
      </c>
      <c r="AA212" s="32" t="s">
        <v>126</v>
      </c>
      <c r="AB212" s="32" t="s">
        <v>126</v>
      </c>
      <c r="AC212" s="32" t="s">
        <v>10</v>
      </c>
      <c r="AD212" s="32" t="s">
        <v>10</v>
      </c>
      <c r="AE212" s="32" t="s">
        <v>817</v>
      </c>
      <c r="AF212" s="32" t="s">
        <v>817</v>
      </c>
      <c r="AG212" s="32" t="s">
        <v>69</v>
      </c>
      <c r="AH212" s="32" t="s">
        <v>69</v>
      </c>
      <c r="AI212" s="32" t="s">
        <v>87</v>
      </c>
      <c r="AJ212" s="32" t="s">
        <v>87</v>
      </c>
      <c r="AK212" s="32" t="s">
        <v>87</v>
      </c>
      <c r="AL212" s="32" t="s">
        <v>87</v>
      </c>
      <c r="AM212" s="32" t="s">
        <v>557</v>
      </c>
      <c r="AN212" s="32" t="s">
        <v>557</v>
      </c>
      <c r="AO212" s="32" t="s">
        <v>557</v>
      </c>
      <c r="AP212" s="32" t="s">
        <v>557</v>
      </c>
      <c r="AQ212" s="32" t="s">
        <v>557</v>
      </c>
      <c r="AR212" s="32" t="s">
        <v>93</v>
      </c>
      <c r="AS212" s="32" t="s">
        <v>293</v>
      </c>
      <c r="AT212" s="32" t="s">
        <v>293</v>
      </c>
      <c r="AU212" s="32" t="s">
        <v>293</v>
      </c>
      <c r="AV212" s="32" t="s">
        <v>293</v>
      </c>
      <c r="AW212" s="32" t="s">
        <v>293</v>
      </c>
      <c r="AX212" s="32" t="s">
        <v>293</v>
      </c>
      <c r="AY212" s="32" t="s">
        <v>323</v>
      </c>
      <c r="AZ212" s="32" t="s">
        <v>323</v>
      </c>
      <c r="BA212" s="32" t="s">
        <v>323</v>
      </c>
      <c r="BB212" s="32" t="s">
        <v>323</v>
      </c>
      <c r="BC212" s="32" t="s">
        <v>323</v>
      </c>
      <c r="BD212" s="32" t="s">
        <v>323</v>
      </c>
      <c r="BE212" s="484" t="s">
        <v>324</v>
      </c>
      <c r="BF212" s="484" t="s">
        <v>324</v>
      </c>
      <c r="BG212" s="263"/>
      <c r="BH212" s="263"/>
      <c r="BI212" s="32" t="s">
        <v>18</v>
      </c>
      <c r="BJ212" s="263"/>
      <c r="BK212" s="32" t="s">
        <v>84</v>
      </c>
      <c r="BL212" s="32" t="s">
        <v>84</v>
      </c>
      <c r="BM212" s="32" t="s">
        <v>84</v>
      </c>
      <c r="BN212" s="32" t="s">
        <v>84</v>
      </c>
      <c r="BO212" s="32" t="s">
        <v>10</v>
      </c>
      <c r="BP212" s="32" t="s">
        <v>817</v>
      </c>
      <c r="BQ212" s="32" t="s">
        <v>69</v>
      </c>
      <c r="BR212" s="32" t="s">
        <v>62</v>
      </c>
      <c r="BS212" s="32" t="s">
        <v>93</v>
      </c>
      <c r="BT212" s="484" t="s">
        <v>291</v>
      </c>
      <c r="BU212" s="484" t="s">
        <v>292</v>
      </c>
      <c r="BV212" s="484" t="s">
        <v>2</v>
      </c>
      <c r="BW212" s="484" t="s">
        <v>2</v>
      </c>
      <c r="BX212" s="32" t="s">
        <v>18</v>
      </c>
      <c r="BY212" s="32" t="s">
        <v>261</v>
      </c>
      <c r="BZ212" s="32" t="s">
        <v>261</v>
      </c>
      <c r="CA212" s="32" t="s">
        <v>266</v>
      </c>
      <c r="CB212" s="32" t="s">
        <v>261</v>
      </c>
      <c r="CC212" s="32" t="s">
        <v>254</v>
      </c>
      <c r="CD212" s="32" t="s">
        <v>254</v>
      </c>
      <c r="CE212" s="32" t="s">
        <v>254</v>
      </c>
      <c r="CF212" s="32" t="s">
        <v>254</v>
      </c>
      <c r="CG212" s="32" t="s">
        <v>254</v>
      </c>
      <c r="CH212" s="32" t="s">
        <v>254</v>
      </c>
      <c r="CI212" s="32" t="s">
        <v>342</v>
      </c>
      <c r="CJ212" s="32" t="s">
        <v>342</v>
      </c>
      <c r="CK212" s="32" t="s">
        <v>342</v>
      </c>
      <c r="CL212" s="32" t="s">
        <v>342</v>
      </c>
      <c r="CM212" s="32" t="s">
        <v>342</v>
      </c>
      <c r="CN212" s="32" t="s">
        <v>342</v>
      </c>
      <c r="CO212" s="484" t="s">
        <v>344</v>
      </c>
      <c r="CP212" s="484" t="s">
        <v>344</v>
      </c>
      <c r="CQ212" s="484" t="s">
        <v>344</v>
      </c>
      <c r="CR212" s="484" t="s">
        <v>344</v>
      </c>
      <c r="CS212" s="484" t="s">
        <v>344</v>
      </c>
      <c r="CT212" s="484" t="s">
        <v>344</v>
      </c>
      <c r="CU212" s="484" t="s">
        <v>348</v>
      </c>
      <c r="CV212" s="484" t="s">
        <v>348</v>
      </c>
      <c r="CW212" s="484" t="s">
        <v>348</v>
      </c>
      <c r="CX212" s="484" t="s">
        <v>348</v>
      </c>
      <c r="CY212" s="758" t="s">
        <v>556</v>
      </c>
      <c r="CZ212" s="758" t="s">
        <v>556</v>
      </c>
      <c r="DA212" s="758" t="s">
        <v>556</v>
      </c>
      <c r="DB212" s="758" t="s">
        <v>556</v>
      </c>
      <c r="DC212" s="484" t="s">
        <v>583</v>
      </c>
      <c r="DD212" s="485" t="s">
        <v>583</v>
      </c>
      <c r="DE212" s="264" t="s">
        <v>229</v>
      </c>
      <c r="DF212" s="484" t="s">
        <v>758</v>
      </c>
      <c r="DG212" s="485" t="s">
        <v>758</v>
      </c>
      <c r="DH212" s="48" t="s">
        <v>921</v>
      </c>
      <c r="DI212" s="48" t="s">
        <v>936</v>
      </c>
      <c r="DJ212" s="935" t="s">
        <v>938</v>
      </c>
      <c r="DK212" s="939" t="s">
        <v>922</v>
      </c>
      <c r="DL212" s="48" t="s">
        <v>936</v>
      </c>
      <c r="DM212" s="935" t="s">
        <v>938</v>
      </c>
      <c r="DN212" s="46" t="s">
        <v>925</v>
      </c>
      <c r="DO212" s="48" t="s">
        <v>936</v>
      </c>
      <c r="DP212" s="935" t="s">
        <v>938</v>
      </c>
      <c r="DQ212" s="147" t="s">
        <v>888</v>
      </c>
      <c r="DR212" s="147" t="s">
        <v>938</v>
      </c>
      <c r="DS212" s="147" t="s">
        <v>938</v>
      </c>
    </row>
    <row r="213" spans="1:123" ht="14" thickBot="1" x14ac:dyDescent="0.2">
      <c r="A213" s="775" t="s">
        <v>652</v>
      </c>
      <c r="B213" s="64"/>
      <c r="C213" s="13" t="s">
        <v>39</v>
      </c>
      <c r="D213" s="13" t="s">
        <v>39</v>
      </c>
      <c r="E213" s="13" t="s">
        <v>43</v>
      </c>
      <c r="F213" s="13" t="s">
        <v>43</v>
      </c>
      <c r="G213" s="13" t="s">
        <v>39</v>
      </c>
      <c r="H213" s="13" t="s">
        <v>39</v>
      </c>
      <c r="I213" s="13" t="s">
        <v>43</v>
      </c>
      <c r="J213" s="13" t="s">
        <v>43</v>
      </c>
      <c r="K213" s="13" t="s">
        <v>95</v>
      </c>
      <c r="L213" s="13" t="s">
        <v>96</v>
      </c>
      <c r="M213" s="33" t="s">
        <v>88</v>
      </c>
      <c r="N213" s="13" t="s">
        <v>89</v>
      </c>
      <c r="O213" s="33" t="s">
        <v>334</v>
      </c>
      <c r="P213" s="13" t="s">
        <v>335</v>
      </c>
      <c r="Q213" s="33" t="s">
        <v>63</v>
      </c>
      <c r="R213" s="13" t="s">
        <v>66</v>
      </c>
      <c r="S213" s="13" t="s">
        <v>64</v>
      </c>
      <c r="T213" s="13" t="s">
        <v>65</v>
      </c>
      <c r="U213" s="13" t="s">
        <v>64</v>
      </c>
      <c r="V213" s="13" t="s">
        <v>65</v>
      </c>
      <c r="W213" s="13" t="s">
        <v>98</v>
      </c>
      <c r="X213" s="13" t="s">
        <v>99</v>
      </c>
      <c r="Y213" s="13" t="s">
        <v>128</v>
      </c>
      <c r="Z213" s="13" t="s">
        <v>129</v>
      </c>
      <c r="AA213" s="13" t="s">
        <v>95</v>
      </c>
      <c r="AB213" s="13" t="s">
        <v>96</v>
      </c>
      <c r="AC213" s="13" t="s">
        <v>83</v>
      </c>
      <c r="AD213" s="13" t="s">
        <v>82</v>
      </c>
      <c r="AE213" s="33" t="s">
        <v>83</v>
      </c>
      <c r="AF213" s="33" t="s">
        <v>82</v>
      </c>
      <c r="AG213" s="13" t="s">
        <v>70</v>
      </c>
      <c r="AH213" s="13" t="s">
        <v>71</v>
      </c>
      <c r="AI213" s="13" t="s">
        <v>90</v>
      </c>
      <c r="AJ213" s="13" t="s">
        <v>91</v>
      </c>
      <c r="AK213" s="13" t="s">
        <v>95</v>
      </c>
      <c r="AL213" s="13" t="s">
        <v>96</v>
      </c>
      <c r="AM213" s="13" t="s">
        <v>564</v>
      </c>
      <c r="AN213" s="13" t="s">
        <v>565</v>
      </c>
      <c r="AO213" s="13" t="s">
        <v>338</v>
      </c>
      <c r="AP213" s="13" t="s">
        <v>339</v>
      </c>
      <c r="AQ213" s="13" t="s">
        <v>340</v>
      </c>
      <c r="AR213" s="13" t="s">
        <v>341</v>
      </c>
      <c r="AS213" s="13" t="s">
        <v>88</v>
      </c>
      <c r="AT213" s="13" t="s">
        <v>89</v>
      </c>
      <c r="AU213" s="13" t="s">
        <v>90</v>
      </c>
      <c r="AV213" s="13" t="s">
        <v>91</v>
      </c>
      <c r="AW213" s="13" t="s">
        <v>95</v>
      </c>
      <c r="AX213" s="13" t="s">
        <v>96</v>
      </c>
      <c r="AY213" s="13" t="s">
        <v>88</v>
      </c>
      <c r="AZ213" s="13" t="s">
        <v>89</v>
      </c>
      <c r="BA213" s="13" t="s">
        <v>90</v>
      </c>
      <c r="BB213" s="13" t="s">
        <v>91</v>
      </c>
      <c r="BC213" s="13" t="s">
        <v>95</v>
      </c>
      <c r="BD213" s="13" t="s">
        <v>96</v>
      </c>
      <c r="BE213" s="62" t="s">
        <v>325</v>
      </c>
      <c r="BF213" s="62" t="s">
        <v>326</v>
      </c>
      <c r="BG213" s="13" t="s">
        <v>75</v>
      </c>
      <c r="BH213" s="13" t="s">
        <v>72</v>
      </c>
      <c r="BI213" s="13" t="s">
        <v>73</v>
      </c>
      <c r="BJ213" s="13" t="s">
        <v>74</v>
      </c>
      <c r="BK213" s="13" t="s">
        <v>73</v>
      </c>
      <c r="BL213" s="13" t="s">
        <v>85</v>
      </c>
      <c r="BM213" s="13" t="s">
        <v>288</v>
      </c>
      <c r="BN213" s="13" t="s">
        <v>289</v>
      </c>
      <c r="BO213" s="13" t="s">
        <v>86</v>
      </c>
      <c r="BP213" s="13" t="s">
        <v>86</v>
      </c>
      <c r="BQ213" s="13" t="s">
        <v>92</v>
      </c>
      <c r="BR213" s="13" t="s">
        <v>94</v>
      </c>
      <c r="BS213" s="13" t="s">
        <v>94</v>
      </c>
      <c r="BT213" s="62" t="s">
        <v>290</v>
      </c>
      <c r="BU213" s="62" t="s">
        <v>290</v>
      </c>
      <c r="BV213" s="62" t="s">
        <v>298</v>
      </c>
      <c r="BW213" s="62" t="s">
        <v>299</v>
      </c>
      <c r="BX213" s="13" t="s">
        <v>594</v>
      </c>
      <c r="BY213" s="13" t="s">
        <v>256</v>
      </c>
      <c r="BZ213" s="13" t="s">
        <v>257</v>
      </c>
      <c r="CA213" s="13" t="s">
        <v>258</v>
      </c>
      <c r="CB213" s="13" t="s">
        <v>259</v>
      </c>
      <c r="CC213" s="13" t="s">
        <v>260</v>
      </c>
      <c r="CD213" s="13" t="s">
        <v>327</v>
      </c>
      <c r="CE213" s="13" t="s">
        <v>264</v>
      </c>
      <c r="CF213" s="13" t="s">
        <v>265</v>
      </c>
      <c r="CG213" s="13" t="s">
        <v>262</v>
      </c>
      <c r="CH213" s="13" t="s">
        <v>263</v>
      </c>
      <c r="CI213" s="13" t="s">
        <v>88</v>
      </c>
      <c r="CJ213" s="13" t="s">
        <v>343</v>
      </c>
      <c r="CK213" s="13" t="s">
        <v>90</v>
      </c>
      <c r="CL213" s="13" t="s">
        <v>91</v>
      </c>
      <c r="CM213" s="13" t="s">
        <v>95</v>
      </c>
      <c r="CN213" s="13" t="s">
        <v>96</v>
      </c>
      <c r="CO213" s="62" t="s">
        <v>88</v>
      </c>
      <c r="CP213" s="62" t="s">
        <v>89</v>
      </c>
      <c r="CQ213" s="62" t="s">
        <v>90</v>
      </c>
      <c r="CR213" s="62" t="s">
        <v>346</v>
      </c>
      <c r="CS213" s="62" t="s">
        <v>347</v>
      </c>
      <c r="CT213" s="62" t="s">
        <v>345</v>
      </c>
      <c r="CU213" s="62" t="s">
        <v>349</v>
      </c>
      <c r="CV213" s="62" t="s">
        <v>350</v>
      </c>
      <c r="CW213" s="62" t="s">
        <v>579</v>
      </c>
      <c r="CX213" s="62" t="s">
        <v>580</v>
      </c>
      <c r="CY213" s="428" t="s">
        <v>575</v>
      </c>
      <c r="CZ213" s="428" t="s">
        <v>574</v>
      </c>
      <c r="DA213" s="428" t="s">
        <v>576</v>
      </c>
      <c r="DB213" s="428" t="s">
        <v>577</v>
      </c>
      <c r="DC213" s="62" t="s">
        <v>584</v>
      </c>
      <c r="DD213" s="464" t="s">
        <v>585</v>
      </c>
      <c r="DE213" s="465" t="s">
        <v>757</v>
      </c>
      <c r="DF213" s="581" t="s">
        <v>760</v>
      </c>
      <c r="DG213" s="582" t="s">
        <v>759</v>
      </c>
      <c r="DH213" s="89" t="s">
        <v>10</v>
      </c>
      <c r="DI213" s="89" t="s">
        <v>937</v>
      </c>
      <c r="DJ213" s="936" t="s">
        <v>939</v>
      </c>
      <c r="DK213" s="936" t="s">
        <v>10</v>
      </c>
      <c r="DL213" s="89" t="s">
        <v>937</v>
      </c>
      <c r="DM213" s="936" t="s">
        <v>939</v>
      </c>
      <c r="DN213" s="47" t="s">
        <v>10</v>
      </c>
      <c r="DO213" s="89" t="s">
        <v>937</v>
      </c>
      <c r="DP213" s="936" t="s">
        <v>939</v>
      </c>
      <c r="DQ213" s="936" t="s">
        <v>951</v>
      </c>
      <c r="DR213" s="936" t="s">
        <v>937</v>
      </c>
      <c r="DS213" s="936" t="s">
        <v>939</v>
      </c>
    </row>
    <row r="214" spans="1:123" x14ac:dyDescent="0.15">
      <c r="A214" s="91" t="s">
        <v>18</v>
      </c>
      <c r="B214" s="264" t="s">
        <v>546</v>
      </c>
      <c r="C214" s="78">
        <v>11</v>
      </c>
      <c r="D214" s="78">
        <f t="shared" ref="D214:D219" si="31">+(C214*0.3048)</f>
        <v>3.3528000000000002</v>
      </c>
      <c r="E214" s="78">
        <v>11</v>
      </c>
      <c r="F214" s="78">
        <f t="shared" ref="F214:F219" si="32">+(E214*0.3048)</f>
        <v>3.3528000000000002</v>
      </c>
      <c r="G214" s="78">
        <v>389.7</v>
      </c>
      <c r="H214" s="78">
        <f>+(G214*0.3048)</f>
        <v>118.78056000000001</v>
      </c>
      <c r="I214" s="78">
        <v>384.2</v>
      </c>
      <c r="J214" s="78">
        <f>+(I214*0.3048)</f>
        <v>117.10416000000001</v>
      </c>
      <c r="K214" s="78">
        <f>+(C214*G214)+(E214*I214)</f>
        <v>8512.9</v>
      </c>
      <c r="L214" s="78">
        <f>+(K214*0.3048)</f>
        <v>2594.7319200000002</v>
      </c>
      <c r="M214" s="782">
        <v>2.34</v>
      </c>
      <c r="N214" s="244">
        <f>+(M214*0.3048)</f>
        <v>0.71323199999999998</v>
      </c>
      <c r="O214" s="299">
        <v>62.666670000000003</v>
      </c>
      <c r="P214" s="244">
        <f t="shared" ref="P214:R219" si="33">+(O214*0.3048)</f>
        <v>19.100801016000002</v>
      </c>
      <c r="Q214" s="38">
        <f>+M214+O214</f>
        <v>65.00667</v>
      </c>
      <c r="R214" s="78">
        <f t="shared" si="33"/>
        <v>19.814033016</v>
      </c>
      <c r="S214" s="78">
        <v>90</v>
      </c>
      <c r="T214" s="78">
        <f t="shared" ref="T214:T219" si="34">+(S214*0.3048)</f>
        <v>27.432000000000002</v>
      </c>
      <c r="U214" s="131">
        <f>+S214*BI214</f>
        <v>36153</v>
      </c>
      <c r="V214" s="78">
        <f>+U214*0.3048</f>
        <v>11019.4344</v>
      </c>
      <c r="W214" s="78">
        <f>+Q214*BI214</f>
        <v>26113.179338999998</v>
      </c>
      <c r="X214" s="78">
        <f>+W214*0.3048</f>
        <v>7959.2970625272001</v>
      </c>
      <c r="Y214" s="78"/>
      <c r="Z214" s="78"/>
      <c r="AA214" s="78">
        <f>+O214*BI214</f>
        <v>25173.201338999999</v>
      </c>
      <c r="AB214" s="78">
        <f>+(AA214*0.3048)</f>
        <v>7672.7917681272002</v>
      </c>
      <c r="AC214" s="78"/>
      <c r="AD214" s="78"/>
      <c r="AE214" s="78"/>
      <c r="AF214" s="78"/>
      <c r="AG214" s="78"/>
      <c r="AH214" s="78"/>
      <c r="AI214" s="78">
        <v>108.6</v>
      </c>
      <c r="AJ214" s="78">
        <f>+(AI214*0.3048)</f>
        <v>33.101280000000003</v>
      </c>
      <c r="AK214" s="78">
        <f>+(M214*AI214)</f>
        <v>254.12399999999997</v>
      </c>
      <c r="AL214" s="78">
        <f>+AK214*0.3048</f>
        <v>77.456995199999994</v>
      </c>
      <c r="AM214" s="131" t="s">
        <v>18</v>
      </c>
      <c r="AN214" s="131" t="s">
        <v>18</v>
      </c>
      <c r="AO214" s="131" t="s">
        <v>18</v>
      </c>
      <c r="AP214" s="78"/>
      <c r="AQ214" s="78"/>
      <c r="AR214" s="131" t="s">
        <v>18</v>
      </c>
      <c r="AS214" s="78">
        <v>0</v>
      </c>
      <c r="AT214" s="78">
        <v>0</v>
      </c>
      <c r="AU214" s="78">
        <v>0</v>
      </c>
      <c r="AV214" s="78">
        <v>0</v>
      </c>
      <c r="AW214" s="78">
        <v>0</v>
      </c>
      <c r="AX214" s="78">
        <v>0</v>
      </c>
      <c r="AY214" s="78">
        <v>0</v>
      </c>
      <c r="AZ214" s="78">
        <v>0</v>
      </c>
      <c r="BA214" s="78">
        <v>0</v>
      </c>
      <c r="BB214" s="78">
        <v>0</v>
      </c>
      <c r="BC214" s="78">
        <v>0</v>
      </c>
      <c r="BD214" s="78">
        <v>0</v>
      </c>
      <c r="BE214" s="78"/>
      <c r="BF214" s="78"/>
      <c r="BG214" s="78"/>
      <c r="BH214" s="78"/>
      <c r="BI214" s="626">
        <v>401.7</v>
      </c>
      <c r="BJ214" s="78">
        <f>+(BI214*0.3048)</f>
        <v>122.43816</v>
      </c>
      <c r="BK214" s="78">
        <f>+BI214*2</f>
        <v>803.4</v>
      </c>
      <c r="BL214" s="78">
        <f>+(BK214*0.3048)</f>
        <v>244.87631999999999</v>
      </c>
      <c r="BM214" s="78"/>
      <c r="BN214" s="78"/>
      <c r="BO214" s="78"/>
      <c r="BP214" s="78"/>
      <c r="BQ214" s="78"/>
      <c r="BR214" s="78"/>
      <c r="BS214" s="78"/>
      <c r="BT214" s="78"/>
      <c r="BU214" s="78"/>
      <c r="BV214" s="78"/>
      <c r="BW214" s="78"/>
      <c r="BX214" s="131" t="s">
        <v>18</v>
      </c>
      <c r="BY214" s="78"/>
      <c r="BZ214" s="78"/>
      <c r="CA214" s="78"/>
      <c r="CB214" s="78"/>
      <c r="CC214" s="78"/>
      <c r="CD214" s="78"/>
      <c r="CE214" s="78"/>
      <c r="CF214" s="78"/>
      <c r="CG214" s="78"/>
      <c r="CH214" s="78"/>
      <c r="CI214" s="78">
        <v>0</v>
      </c>
      <c r="CJ214" s="78">
        <v>0</v>
      </c>
      <c r="CK214" s="78">
        <v>0</v>
      </c>
      <c r="CL214" s="78">
        <v>0</v>
      </c>
      <c r="CM214" s="78">
        <v>0</v>
      </c>
      <c r="CN214" s="78">
        <v>0</v>
      </c>
      <c r="CO214" s="78">
        <v>0</v>
      </c>
      <c r="CP214" s="78">
        <v>0</v>
      </c>
      <c r="CQ214" s="78">
        <v>0</v>
      </c>
      <c r="CR214" s="78">
        <v>0</v>
      </c>
      <c r="CS214" s="78">
        <v>0</v>
      </c>
      <c r="CT214" s="78">
        <v>0</v>
      </c>
      <c r="CU214" s="78"/>
      <c r="CV214" s="78"/>
      <c r="CW214" s="78"/>
      <c r="CX214" s="78"/>
      <c r="CY214" s="78"/>
      <c r="CZ214" s="78"/>
      <c r="DA214" s="78"/>
      <c r="DB214" s="78"/>
      <c r="DC214" s="78"/>
      <c r="DD214" s="194"/>
      <c r="DE214" s="80"/>
      <c r="DF214" s="14"/>
      <c r="DG214" s="136"/>
      <c r="DH214" s="87"/>
      <c r="DI214" s="87"/>
      <c r="DJ214" s="87"/>
      <c r="DK214" s="57"/>
      <c r="DL214" s="57"/>
      <c r="DM214" s="57"/>
      <c r="DN214" s="57"/>
      <c r="DO214" s="57"/>
      <c r="DP214" s="57"/>
      <c r="DQ214" s="57"/>
      <c r="DR214" s="57"/>
      <c r="DS214" s="57"/>
    </row>
    <row r="215" spans="1:123" x14ac:dyDescent="0.15">
      <c r="A215" s="80"/>
      <c r="B215" s="265" t="s">
        <v>549</v>
      </c>
      <c r="C215" s="38">
        <v>11</v>
      </c>
      <c r="D215" s="38">
        <f t="shared" si="31"/>
        <v>3.3528000000000002</v>
      </c>
      <c r="E215" s="38">
        <v>11</v>
      </c>
      <c r="F215" s="38">
        <f t="shared" si="32"/>
        <v>3.3528000000000002</v>
      </c>
      <c r="G215" s="38">
        <v>160.19999999999999</v>
      </c>
      <c r="H215" s="38">
        <f>+(G215*0.3048)</f>
        <v>48.828960000000002</v>
      </c>
      <c r="I215" s="38">
        <v>157.6</v>
      </c>
      <c r="J215" s="38">
        <f>+(I215*0.3048)</f>
        <v>48.036479999999997</v>
      </c>
      <c r="K215" s="38">
        <f>+(C215*G215)+(E215*I215)</f>
        <v>3495.7999999999997</v>
      </c>
      <c r="L215" s="38">
        <f>+(K215*0.3048)</f>
        <v>1065.5198399999999</v>
      </c>
      <c r="M215" s="782"/>
      <c r="N215" s="25">
        <f>+(M215*0.3048)</f>
        <v>0</v>
      </c>
      <c r="O215" s="299">
        <v>65</v>
      </c>
      <c r="P215" s="25">
        <f t="shared" si="33"/>
        <v>19.812000000000001</v>
      </c>
      <c r="Q215" s="38">
        <f>+M215+O215</f>
        <v>65</v>
      </c>
      <c r="R215" s="38">
        <f t="shared" si="33"/>
        <v>19.812000000000001</v>
      </c>
      <c r="S215" s="38">
        <v>90</v>
      </c>
      <c r="T215" s="38">
        <f t="shared" si="34"/>
        <v>27.432000000000002</v>
      </c>
      <c r="U215" s="113">
        <f>+S215*BI215</f>
        <v>17208</v>
      </c>
      <c r="V215" s="38">
        <f>+U215*0.3048</f>
        <v>5244.9984000000004</v>
      </c>
      <c r="W215" s="38">
        <f>+Q215*BI215</f>
        <v>12428</v>
      </c>
      <c r="X215" s="38">
        <f>+W215*0.3048</f>
        <v>3788.0544</v>
      </c>
      <c r="Y215" s="38"/>
      <c r="Z215" s="38"/>
      <c r="AA215" s="38">
        <f>+O215*BI215</f>
        <v>12428</v>
      </c>
      <c r="AB215" s="38">
        <f>+(AA215*0.3048)</f>
        <v>3788.0544</v>
      </c>
      <c r="AC215" s="38"/>
      <c r="AD215" s="38"/>
      <c r="AE215" s="38"/>
      <c r="AF215" s="38"/>
      <c r="AG215" s="38"/>
      <c r="AH215" s="38"/>
      <c r="AI215" s="38">
        <v>0</v>
      </c>
      <c r="AJ215" s="38">
        <v>0</v>
      </c>
      <c r="AK215" s="38">
        <v>0</v>
      </c>
      <c r="AL215" s="38">
        <v>0</v>
      </c>
      <c r="AM215" s="38"/>
      <c r="AN215" s="38"/>
      <c r="AO215" s="38"/>
      <c r="AP215" s="38"/>
      <c r="AQ215" s="38"/>
      <c r="AR215" s="113" t="s">
        <v>18</v>
      </c>
      <c r="AS215" s="38">
        <v>0</v>
      </c>
      <c r="AT215" s="38">
        <v>0</v>
      </c>
      <c r="AU215" s="38">
        <v>0</v>
      </c>
      <c r="AV215" s="38">
        <v>0</v>
      </c>
      <c r="AW215" s="38">
        <v>0</v>
      </c>
      <c r="AX215" s="38">
        <v>0</v>
      </c>
      <c r="AY215" s="38">
        <v>0</v>
      </c>
      <c r="AZ215" s="38">
        <v>0</v>
      </c>
      <c r="BA215" s="38">
        <v>0</v>
      </c>
      <c r="BB215" s="38">
        <v>0</v>
      </c>
      <c r="BC215" s="38">
        <v>0</v>
      </c>
      <c r="BD215" s="38">
        <v>0</v>
      </c>
      <c r="BE215" s="38"/>
      <c r="BF215" s="38"/>
      <c r="BG215" s="38"/>
      <c r="BH215" s="38"/>
      <c r="BI215" s="656">
        <v>191.2</v>
      </c>
      <c r="BJ215" s="38">
        <f t="shared" ref="BJ215:BL218" si="35">+(BI215*0.3048)</f>
        <v>58.277760000000001</v>
      </c>
      <c r="BK215" s="38">
        <f>+BI215*2</f>
        <v>382.4</v>
      </c>
      <c r="BL215" s="38">
        <f t="shared" si="35"/>
        <v>116.55552</v>
      </c>
      <c r="BM215" s="38"/>
      <c r="BN215" s="38"/>
      <c r="BO215" s="38"/>
      <c r="BP215" s="38"/>
      <c r="BQ215" s="38"/>
      <c r="BR215" s="38"/>
      <c r="BS215" s="38"/>
      <c r="BT215" s="38"/>
      <c r="BU215" s="38"/>
      <c r="BV215" s="38"/>
      <c r="BW215" s="38"/>
      <c r="BX215" s="38"/>
      <c r="BY215" s="38"/>
      <c r="BZ215" s="38"/>
      <c r="CA215" s="38"/>
      <c r="CB215" s="38"/>
      <c r="CC215" s="38"/>
      <c r="CD215" s="38"/>
      <c r="CE215" s="38"/>
      <c r="CF215" s="38"/>
      <c r="CG215" s="38"/>
      <c r="CH215" s="38"/>
      <c r="CI215" s="38">
        <v>0</v>
      </c>
      <c r="CJ215" s="38">
        <v>0</v>
      </c>
      <c r="CK215" s="38">
        <v>0</v>
      </c>
      <c r="CL215" s="38">
        <v>0</v>
      </c>
      <c r="CM215" s="38">
        <v>0</v>
      </c>
      <c r="CN215" s="38">
        <v>0</v>
      </c>
      <c r="CO215" s="38">
        <v>0</v>
      </c>
      <c r="CP215" s="38">
        <v>0</v>
      </c>
      <c r="CQ215" s="38">
        <v>0</v>
      </c>
      <c r="CR215" s="38">
        <v>0</v>
      </c>
      <c r="CS215" s="38">
        <v>0</v>
      </c>
      <c r="CT215" s="38">
        <v>0</v>
      </c>
      <c r="CU215" s="38"/>
      <c r="CV215" s="38"/>
      <c r="CW215" s="38"/>
      <c r="CX215" s="38"/>
      <c r="CY215" s="38"/>
      <c r="CZ215" s="38"/>
      <c r="DA215" s="38"/>
      <c r="DB215" s="38"/>
      <c r="DC215" s="38"/>
      <c r="DD215" s="172"/>
      <c r="DE215" s="80"/>
      <c r="DF215" s="14"/>
      <c r="DG215" s="136"/>
      <c r="DH215" s="80"/>
      <c r="DI215" s="80"/>
      <c r="DJ215" s="80"/>
      <c r="DK215" s="94"/>
      <c r="DL215" s="94"/>
      <c r="DM215" s="94"/>
      <c r="DN215" s="94"/>
      <c r="DO215" s="94"/>
      <c r="DP215" s="94"/>
      <c r="DQ215" s="94"/>
      <c r="DR215" s="94"/>
      <c r="DS215" s="94"/>
    </row>
    <row r="216" spans="1:123" x14ac:dyDescent="0.15">
      <c r="A216" s="80"/>
      <c r="B216" s="265" t="s">
        <v>551</v>
      </c>
      <c r="C216" s="38">
        <v>11</v>
      </c>
      <c r="D216" s="38">
        <f t="shared" si="31"/>
        <v>3.3528000000000002</v>
      </c>
      <c r="E216" s="38">
        <v>11</v>
      </c>
      <c r="F216" s="38">
        <f t="shared" si="32"/>
        <v>3.3528000000000002</v>
      </c>
      <c r="G216" s="38">
        <v>313.8</v>
      </c>
      <c r="H216" s="38">
        <f>+(G216*0.3048)</f>
        <v>95.646240000000006</v>
      </c>
      <c r="I216" s="38">
        <v>308.8</v>
      </c>
      <c r="J216" s="38">
        <f>+(I216*0.3048)</f>
        <v>94.122240000000005</v>
      </c>
      <c r="K216" s="38">
        <f>+(C216*G216)+(E216*I216)</f>
        <v>6848.6</v>
      </c>
      <c r="L216" s="38">
        <f>+(K216*0.3048)</f>
        <v>2087.4532800000002</v>
      </c>
      <c r="M216" s="782">
        <v>2.59</v>
      </c>
      <c r="N216" s="25">
        <f>+(M216*0.3048)</f>
        <v>0.78943200000000002</v>
      </c>
      <c r="O216" s="299">
        <v>62.41</v>
      </c>
      <c r="P216" s="25">
        <f t="shared" si="33"/>
        <v>19.022568</v>
      </c>
      <c r="Q216" s="38">
        <f>+M216+O216</f>
        <v>65</v>
      </c>
      <c r="R216" s="38">
        <f t="shared" si="33"/>
        <v>19.812000000000001</v>
      </c>
      <c r="S216" s="38">
        <v>90</v>
      </c>
      <c r="T216" s="38">
        <f t="shared" si="34"/>
        <v>27.432000000000002</v>
      </c>
      <c r="U216" s="113">
        <f>+S216*BI216</f>
        <v>32868</v>
      </c>
      <c r="V216" s="38">
        <f>+U216*0.3048</f>
        <v>10018.1664</v>
      </c>
      <c r="W216" s="38">
        <f>+Q216*BI216</f>
        <v>23738</v>
      </c>
      <c r="X216" s="38">
        <f>+W216*0.3048</f>
        <v>7235.3424000000005</v>
      </c>
      <c r="Y216" s="38"/>
      <c r="Z216" s="38"/>
      <c r="AA216" s="38">
        <f>+O216*BI216</f>
        <v>22792.131999999998</v>
      </c>
      <c r="AB216" s="38">
        <f>+(AA216*0.3048)</f>
        <v>6947.0418335999993</v>
      </c>
      <c r="AC216" s="38"/>
      <c r="AD216" s="38"/>
      <c r="AE216" s="38"/>
      <c r="AF216" s="38"/>
      <c r="AG216" s="38"/>
      <c r="AH216" s="38"/>
      <c r="AI216" s="38">
        <v>122.5</v>
      </c>
      <c r="AJ216" s="38">
        <f>+(AI216*0.3048)</f>
        <v>37.338000000000001</v>
      </c>
      <c r="AK216" s="38">
        <f>+(M216*AI216)</f>
        <v>317.27499999999998</v>
      </c>
      <c r="AL216" s="38">
        <f>+AK216*0.3048</f>
        <v>96.705420000000004</v>
      </c>
      <c r="AM216" s="38">
        <v>9</v>
      </c>
      <c r="AN216" s="38"/>
      <c r="AO216" s="38">
        <v>50</v>
      </c>
      <c r="AP216" s="38">
        <f>+AO216*0.3048</f>
        <v>15.24</v>
      </c>
      <c r="AQ216" s="38">
        <f>+AM216*AO216</f>
        <v>450</v>
      </c>
      <c r="AR216" s="38">
        <f>+AQ216*0.3048</f>
        <v>137.16</v>
      </c>
      <c r="AS216" s="38">
        <v>0</v>
      </c>
      <c r="AT216" s="38">
        <v>0</v>
      </c>
      <c r="AU216" s="38">
        <v>0</v>
      </c>
      <c r="AV216" s="38">
        <v>0</v>
      </c>
      <c r="AW216" s="38">
        <v>0</v>
      </c>
      <c r="AX216" s="38">
        <v>0</v>
      </c>
      <c r="AY216" s="38">
        <v>0</v>
      </c>
      <c r="AZ216" s="38">
        <v>0</v>
      </c>
      <c r="BA216" s="38">
        <v>0</v>
      </c>
      <c r="BB216" s="38">
        <v>0</v>
      </c>
      <c r="BC216" s="38">
        <v>0</v>
      </c>
      <c r="BD216" s="38">
        <v>0</v>
      </c>
      <c r="BE216" s="38"/>
      <c r="BF216" s="38"/>
      <c r="BG216" s="38"/>
      <c r="BH216" s="38"/>
      <c r="BI216" s="656">
        <v>365.2</v>
      </c>
      <c r="BJ216" s="38">
        <f t="shared" si="35"/>
        <v>111.31296</v>
      </c>
      <c r="BK216" s="38">
        <f>+BI216*2</f>
        <v>730.4</v>
      </c>
      <c r="BL216" s="38">
        <f t="shared" si="35"/>
        <v>222.62592000000001</v>
      </c>
      <c r="BM216" s="38"/>
      <c r="BN216" s="38"/>
      <c r="BO216" s="38"/>
      <c r="BP216" s="38"/>
      <c r="BQ216" s="38"/>
      <c r="BR216" s="38"/>
      <c r="BS216" s="38"/>
      <c r="BT216" s="38"/>
      <c r="BU216" s="38"/>
      <c r="BV216" s="38"/>
      <c r="BW216" s="38"/>
      <c r="BX216" s="38"/>
      <c r="BY216" s="38"/>
      <c r="BZ216" s="38"/>
      <c r="CA216" s="38"/>
      <c r="CB216" s="38"/>
      <c r="CC216" s="38"/>
      <c r="CD216" s="38"/>
      <c r="CE216" s="38"/>
      <c r="CF216" s="38"/>
      <c r="CG216" s="38"/>
      <c r="CH216" s="38"/>
      <c r="CI216" s="38">
        <v>0</v>
      </c>
      <c r="CJ216" s="38">
        <v>0</v>
      </c>
      <c r="CK216" s="38">
        <v>0</v>
      </c>
      <c r="CL216" s="38">
        <v>0</v>
      </c>
      <c r="CM216" s="38">
        <v>0</v>
      </c>
      <c r="CN216" s="38">
        <v>0</v>
      </c>
      <c r="CO216" s="38">
        <v>0</v>
      </c>
      <c r="CP216" s="38">
        <v>0</v>
      </c>
      <c r="CQ216" s="38">
        <v>0</v>
      </c>
      <c r="CR216" s="38">
        <v>0</v>
      </c>
      <c r="CS216" s="38">
        <v>0</v>
      </c>
      <c r="CT216" s="38">
        <v>0</v>
      </c>
      <c r="CU216" s="38"/>
      <c r="CV216" s="38"/>
      <c r="CW216" s="38"/>
      <c r="CX216" s="38"/>
      <c r="CY216" s="38"/>
      <c r="CZ216" s="38"/>
      <c r="DA216" s="38"/>
      <c r="DB216" s="38"/>
      <c r="DC216" s="38"/>
      <c r="DD216" s="172"/>
      <c r="DE216" s="80"/>
      <c r="DF216" s="14"/>
      <c r="DG216" s="136"/>
      <c r="DH216" s="80"/>
      <c r="DI216" s="80"/>
      <c r="DJ216" s="80"/>
      <c r="DK216" s="94"/>
      <c r="DL216" s="94"/>
      <c r="DM216" s="94"/>
      <c r="DN216" s="94"/>
      <c r="DO216" s="94"/>
      <c r="DP216" s="94"/>
      <c r="DQ216" s="94"/>
      <c r="DR216" s="94"/>
      <c r="DS216" s="94"/>
    </row>
    <row r="217" spans="1:123" x14ac:dyDescent="0.15">
      <c r="A217" s="80"/>
      <c r="B217" s="265" t="s">
        <v>555</v>
      </c>
      <c r="C217" s="38">
        <v>11</v>
      </c>
      <c r="D217" s="38">
        <f t="shared" si="31"/>
        <v>3.3528000000000002</v>
      </c>
      <c r="E217" s="38">
        <v>11</v>
      </c>
      <c r="F217" s="38">
        <f t="shared" si="32"/>
        <v>3.3528000000000002</v>
      </c>
      <c r="G217" s="38">
        <v>371.3</v>
      </c>
      <c r="H217" s="38">
        <f>+(G217*0.3048)</f>
        <v>113.17224</v>
      </c>
      <c r="I217" s="38">
        <v>365.5</v>
      </c>
      <c r="J217" s="38">
        <f>+(I217*0.3048)</f>
        <v>111.40440000000001</v>
      </c>
      <c r="K217" s="38">
        <f>+(C217*G217)+(E217*I217)</f>
        <v>8104.8</v>
      </c>
      <c r="L217" s="38">
        <f>+(K217*0.3048)</f>
        <v>2470.3430400000002</v>
      </c>
      <c r="M217" s="782">
        <v>1.88</v>
      </c>
      <c r="N217" s="25">
        <f>+(M217*0.3048)</f>
        <v>0.57302399999999998</v>
      </c>
      <c r="O217" s="299">
        <v>63.12</v>
      </c>
      <c r="P217" s="25">
        <f t="shared" si="33"/>
        <v>19.238976000000001</v>
      </c>
      <c r="Q217" s="38">
        <f>+M217+O217</f>
        <v>65</v>
      </c>
      <c r="R217" s="38">
        <f t="shared" si="33"/>
        <v>19.812000000000001</v>
      </c>
      <c r="S217" s="38">
        <v>90</v>
      </c>
      <c r="T217" s="38">
        <f t="shared" si="34"/>
        <v>27.432000000000002</v>
      </c>
      <c r="U217" s="113">
        <f>+S217*BI217</f>
        <v>39006</v>
      </c>
      <c r="V217" s="38">
        <f>+U217*0.3048</f>
        <v>11889.0288</v>
      </c>
      <c r="W217" s="38">
        <f>+Q217*BI217</f>
        <v>28171</v>
      </c>
      <c r="X217" s="38">
        <f>+W217*0.3048</f>
        <v>8586.5208000000002</v>
      </c>
      <c r="Y217" s="38"/>
      <c r="Z217" s="38"/>
      <c r="AA217" s="38">
        <f>+O217*BI217</f>
        <v>27356.207999999999</v>
      </c>
      <c r="AB217" s="38">
        <f>+(AA217*0.3048)</f>
        <v>8338.1721983999996</v>
      </c>
      <c r="AC217" s="38"/>
      <c r="AD217" s="38"/>
      <c r="AE217" s="38"/>
      <c r="AF217" s="38"/>
      <c r="AG217" s="38"/>
      <c r="AH217" s="38"/>
      <c r="AI217" s="38">
        <v>75.599999999999994</v>
      </c>
      <c r="AJ217" s="38">
        <f>+(AI217*0.3048)</f>
        <v>23.04288</v>
      </c>
      <c r="AK217" s="38">
        <f>+(M217*AI217)</f>
        <v>142.12799999999999</v>
      </c>
      <c r="AL217" s="38">
        <f>+AK217*0.3048</f>
        <v>43.320614399999997</v>
      </c>
      <c r="AM217" s="38">
        <v>9</v>
      </c>
      <c r="AN217" s="38"/>
      <c r="AO217" s="38">
        <v>50</v>
      </c>
      <c r="AP217" s="38">
        <f>+AO217*0.3048</f>
        <v>15.24</v>
      </c>
      <c r="AQ217" s="38">
        <f>+AM217*AO217</f>
        <v>450</v>
      </c>
      <c r="AR217" s="38">
        <f>+AQ217*0.3048</f>
        <v>137.16</v>
      </c>
      <c r="AS217" s="38">
        <v>0</v>
      </c>
      <c r="AT217" s="38">
        <v>0</v>
      </c>
      <c r="AU217" s="38">
        <v>0</v>
      </c>
      <c r="AV217" s="38">
        <v>0</v>
      </c>
      <c r="AW217" s="38">
        <v>0</v>
      </c>
      <c r="AX217" s="38">
        <v>0</v>
      </c>
      <c r="AY217" s="38">
        <v>0</v>
      </c>
      <c r="AZ217" s="38">
        <v>0</v>
      </c>
      <c r="BA217" s="38">
        <v>0</v>
      </c>
      <c r="BB217" s="38">
        <v>0</v>
      </c>
      <c r="BC217" s="38">
        <v>0</v>
      </c>
      <c r="BD217" s="38">
        <v>0</v>
      </c>
      <c r="BE217" s="38"/>
      <c r="BF217" s="38"/>
      <c r="BG217" s="38"/>
      <c r="BH217" s="38"/>
      <c r="BI217" s="656">
        <v>433.4</v>
      </c>
      <c r="BJ217" s="38">
        <f t="shared" si="35"/>
        <v>132.10032000000001</v>
      </c>
      <c r="BK217" s="38">
        <f>+BI217*2</f>
        <v>866.8</v>
      </c>
      <c r="BL217" s="38">
        <f t="shared" si="35"/>
        <v>264.20064000000002</v>
      </c>
      <c r="BM217" s="38"/>
      <c r="BN217" s="38"/>
      <c r="BO217" s="38"/>
      <c r="BP217" s="38"/>
      <c r="BQ217" s="38"/>
      <c r="BR217" s="38"/>
      <c r="BS217" s="38"/>
      <c r="BT217" s="38"/>
      <c r="BU217" s="38"/>
      <c r="BV217" s="38"/>
      <c r="BW217" s="38"/>
      <c r="BX217" s="38"/>
      <c r="BY217" s="38"/>
      <c r="BZ217" s="38"/>
      <c r="CA217" s="38"/>
      <c r="CB217" s="38"/>
      <c r="CC217" s="38"/>
      <c r="CD217" s="38"/>
      <c r="CE217" s="38"/>
      <c r="CF217" s="38"/>
      <c r="CG217" s="38"/>
      <c r="CH217" s="38"/>
      <c r="CI217" s="38">
        <v>0</v>
      </c>
      <c r="CJ217" s="38">
        <v>0</v>
      </c>
      <c r="CK217" s="38">
        <v>0</v>
      </c>
      <c r="CL217" s="38">
        <v>0</v>
      </c>
      <c r="CM217" s="38">
        <v>0</v>
      </c>
      <c r="CN217" s="38">
        <v>0</v>
      </c>
      <c r="CO217" s="38">
        <v>0</v>
      </c>
      <c r="CP217" s="38">
        <v>0</v>
      </c>
      <c r="CQ217" s="38">
        <v>0</v>
      </c>
      <c r="CR217" s="38">
        <v>0</v>
      </c>
      <c r="CS217" s="38">
        <v>0</v>
      </c>
      <c r="CT217" s="38">
        <v>0</v>
      </c>
      <c r="CU217" s="38"/>
      <c r="CV217" s="38"/>
      <c r="CW217" s="38"/>
      <c r="CX217" s="38"/>
      <c r="CY217" s="38"/>
      <c r="CZ217" s="38"/>
      <c r="DA217" s="38"/>
      <c r="DB217" s="38"/>
      <c r="DC217" s="38"/>
      <c r="DD217" s="172"/>
      <c r="DE217" s="80"/>
      <c r="DF217" s="14"/>
      <c r="DG217" s="136"/>
      <c r="DH217" s="80"/>
      <c r="DI217" s="80"/>
      <c r="DJ217" s="80"/>
      <c r="DK217" s="94"/>
      <c r="DL217" s="94"/>
      <c r="DM217" s="94"/>
      <c r="DN217" s="94"/>
      <c r="DO217" s="94"/>
      <c r="DP217" s="94"/>
      <c r="DQ217" s="94"/>
      <c r="DR217" s="94"/>
      <c r="DS217" s="94"/>
    </row>
    <row r="218" spans="1:123" ht="14" thickBot="1" x14ac:dyDescent="0.2">
      <c r="A218" s="80"/>
      <c r="B218" s="465" t="s">
        <v>553</v>
      </c>
      <c r="C218" s="174">
        <v>11</v>
      </c>
      <c r="D218" s="176">
        <f t="shared" si="31"/>
        <v>3.3528000000000002</v>
      </c>
      <c r="E218" s="174">
        <v>11</v>
      </c>
      <c r="F218" s="176">
        <f t="shared" si="32"/>
        <v>3.3528000000000002</v>
      </c>
      <c r="G218" s="174">
        <v>193.9</v>
      </c>
      <c r="H218" s="174">
        <f>+(G218*0.3048)</f>
        <v>59.100720000000003</v>
      </c>
      <c r="I218" s="174">
        <v>190.9</v>
      </c>
      <c r="J218" s="174">
        <f>+(I218*0.3048)</f>
        <v>58.186320000000002</v>
      </c>
      <c r="K218" s="176">
        <f>+(C218*G218)+(E218*I218)</f>
        <v>4232.8</v>
      </c>
      <c r="L218" s="176">
        <f>+(K218*0.3048)</f>
        <v>1290.1574400000002</v>
      </c>
      <c r="M218" s="176">
        <v>0</v>
      </c>
      <c r="N218" s="176">
        <v>0</v>
      </c>
      <c r="O218" s="299">
        <v>65</v>
      </c>
      <c r="P218" s="176">
        <f t="shared" si="33"/>
        <v>19.812000000000001</v>
      </c>
      <c r="Q218" s="38">
        <f>+M218+O218</f>
        <v>65</v>
      </c>
      <c r="R218" s="174">
        <f t="shared" si="33"/>
        <v>19.812000000000001</v>
      </c>
      <c r="S218" s="174">
        <v>90</v>
      </c>
      <c r="T218" s="176">
        <f t="shared" si="34"/>
        <v>27.432000000000002</v>
      </c>
      <c r="U218" s="175">
        <f>+S218*BI218</f>
        <v>20394</v>
      </c>
      <c r="V218" s="174">
        <f>+U218*0.3048</f>
        <v>6216.0912000000008</v>
      </c>
      <c r="W218" s="174">
        <f>+Q218*BI218</f>
        <v>14729</v>
      </c>
      <c r="X218" s="174">
        <f>+W218*0.3048</f>
        <v>4489.3991999999998</v>
      </c>
      <c r="Y218" s="174"/>
      <c r="Z218" s="174"/>
      <c r="AA218" s="174">
        <f>+O218*BI218</f>
        <v>14729</v>
      </c>
      <c r="AB218" s="174">
        <f>+(AA218*0.3048)</f>
        <v>4489.3991999999998</v>
      </c>
      <c r="AC218" s="174"/>
      <c r="AD218" s="174"/>
      <c r="AE218" s="174"/>
      <c r="AF218" s="174"/>
      <c r="AG218" s="174"/>
      <c r="AH218" s="174"/>
      <c r="AI218" s="174">
        <v>0</v>
      </c>
      <c r="AJ218" s="174">
        <v>0</v>
      </c>
      <c r="AK218" s="174">
        <v>0</v>
      </c>
      <c r="AL218" s="174">
        <v>0</v>
      </c>
      <c r="AM218" s="174"/>
      <c r="AN218" s="174"/>
      <c r="AO218" s="174"/>
      <c r="AP218" s="174"/>
      <c r="AQ218" s="174"/>
      <c r="AR218" s="175" t="s">
        <v>18</v>
      </c>
      <c r="AS218" s="174">
        <v>0</v>
      </c>
      <c r="AT218" s="174">
        <v>0</v>
      </c>
      <c r="AU218" s="174">
        <v>0</v>
      </c>
      <c r="AV218" s="174">
        <v>0</v>
      </c>
      <c r="AW218" s="174">
        <v>0</v>
      </c>
      <c r="AX218" s="174">
        <v>0</v>
      </c>
      <c r="AY218" s="174">
        <v>0</v>
      </c>
      <c r="AZ218" s="174">
        <v>0</v>
      </c>
      <c r="BA218" s="174">
        <v>0</v>
      </c>
      <c r="BB218" s="174">
        <v>0</v>
      </c>
      <c r="BC218" s="174">
        <v>0</v>
      </c>
      <c r="BD218" s="174">
        <v>0</v>
      </c>
      <c r="BE218" s="174"/>
      <c r="BF218" s="174"/>
      <c r="BG218" s="174"/>
      <c r="BH218" s="174"/>
      <c r="BI218" s="628">
        <v>226.6</v>
      </c>
      <c r="BJ218" s="174">
        <f t="shared" si="35"/>
        <v>69.067679999999996</v>
      </c>
      <c r="BK218" s="174">
        <f>+BI218*2</f>
        <v>453.2</v>
      </c>
      <c r="BL218" s="174">
        <f t="shared" si="35"/>
        <v>138.13535999999999</v>
      </c>
      <c r="BM218" s="174"/>
      <c r="BN218" s="174"/>
      <c r="BO218" s="174"/>
      <c r="BP218" s="174"/>
      <c r="BQ218" s="174"/>
      <c r="BR218" s="174"/>
      <c r="BS218" s="174"/>
      <c r="BT218" s="174"/>
      <c r="BU218" s="174"/>
      <c r="BV218" s="174"/>
      <c r="BW218" s="174"/>
      <c r="BX218" s="174"/>
      <c r="BY218" s="174"/>
      <c r="BZ218" s="174"/>
      <c r="CA218" s="174"/>
      <c r="CB218" s="174"/>
      <c r="CC218" s="174"/>
      <c r="CD218" s="174"/>
      <c r="CE218" s="174"/>
      <c r="CF218" s="174"/>
      <c r="CG218" s="174"/>
      <c r="CH218" s="174"/>
      <c r="CI218" s="174">
        <v>0</v>
      </c>
      <c r="CJ218" s="174">
        <v>0</v>
      </c>
      <c r="CK218" s="174">
        <v>0</v>
      </c>
      <c r="CL218" s="174">
        <v>0</v>
      </c>
      <c r="CM218" s="174">
        <v>0</v>
      </c>
      <c r="CN218" s="174">
        <v>0</v>
      </c>
      <c r="CO218" s="174">
        <v>0</v>
      </c>
      <c r="CP218" s="174">
        <v>0</v>
      </c>
      <c r="CQ218" s="174">
        <v>0</v>
      </c>
      <c r="CR218" s="174">
        <v>0</v>
      </c>
      <c r="CS218" s="174">
        <v>0</v>
      </c>
      <c r="CT218" s="174">
        <v>0</v>
      </c>
      <c r="CU218" s="174"/>
      <c r="CV218" s="174"/>
      <c r="CW218" s="174"/>
      <c r="CX218" s="174"/>
      <c r="CY218" s="174"/>
      <c r="CZ218" s="174"/>
      <c r="DA218" s="174"/>
      <c r="DB218" s="174"/>
      <c r="DC218" s="174"/>
      <c r="DD218" s="198"/>
      <c r="DE218" s="795"/>
      <c r="DF218" s="592"/>
      <c r="DG218" s="603"/>
      <c r="DH218" s="80"/>
      <c r="DI218" s="80"/>
      <c r="DJ218" s="80"/>
      <c r="DK218" s="94"/>
      <c r="DL218" s="94"/>
      <c r="DM218" s="94"/>
      <c r="DN218" s="95"/>
      <c r="DO218" s="95"/>
      <c r="DP218" s="95"/>
      <c r="DQ218" s="94"/>
      <c r="DR218" s="94"/>
      <c r="DS218" s="94"/>
    </row>
    <row r="219" spans="1:123" ht="14" thickBot="1" x14ac:dyDescent="0.2">
      <c r="A219" s="80"/>
      <c r="B219" s="297" t="s">
        <v>97</v>
      </c>
      <c r="C219" s="777">
        <v>11</v>
      </c>
      <c r="D219" s="777">
        <f t="shared" si="31"/>
        <v>3.3528000000000002</v>
      </c>
      <c r="E219" s="777">
        <v>11</v>
      </c>
      <c r="F219" s="777">
        <f t="shared" si="32"/>
        <v>3.3528000000000002</v>
      </c>
      <c r="G219" s="44"/>
      <c r="H219" s="44"/>
      <c r="I219" s="44"/>
      <c r="J219" s="44" t="s">
        <v>18</v>
      </c>
      <c r="K219" s="44" t="s">
        <v>18</v>
      </c>
      <c r="L219" s="44"/>
      <c r="M219" s="44"/>
      <c r="N219" s="44"/>
      <c r="O219" s="44"/>
      <c r="P219" s="44"/>
      <c r="Q219" s="776">
        <v>65</v>
      </c>
      <c r="R219" s="773">
        <f t="shared" si="33"/>
        <v>19.812000000000001</v>
      </c>
      <c r="S219" s="96">
        <v>90</v>
      </c>
      <c r="T219" s="773">
        <f t="shared" si="34"/>
        <v>27.432000000000002</v>
      </c>
      <c r="U219" s="296" t="s">
        <v>18</v>
      </c>
      <c r="V219" s="296" t="s">
        <v>18</v>
      </c>
      <c r="W219" s="44"/>
      <c r="X219" s="44"/>
      <c r="Y219" s="44"/>
      <c r="Z219" s="44"/>
      <c r="AA219" s="44"/>
      <c r="AB219" s="44"/>
      <c r="AC219" s="44"/>
      <c r="AD219" s="44"/>
      <c r="AE219" s="44"/>
      <c r="AF219" s="44"/>
      <c r="AG219" s="44"/>
      <c r="AH219" s="44"/>
      <c r="AI219" s="44"/>
      <c r="AJ219" s="44"/>
      <c r="AK219" s="44"/>
      <c r="AL219" s="44"/>
      <c r="AM219" s="44"/>
      <c r="AN219" s="44"/>
      <c r="AO219" s="44"/>
      <c r="AP219" s="44"/>
      <c r="AQ219" s="44"/>
      <c r="AR219" s="44"/>
      <c r="AS219" s="44"/>
      <c r="AT219" s="44"/>
      <c r="AU219" s="44"/>
      <c r="AV219" s="44"/>
      <c r="AW219" s="44"/>
      <c r="AX219" s="44"/>
      <c r="AY219" s="44"/>
      <c r="AZ219" s="44"/>
      <c r="BA219" s="44"/>
      <c r="BB219" s="44"/>
      <c r="BC219" s="44"/>
      <c r="BD219" s="44"/>
      <c r="BE219" s="44"/>
      <c r="BF219" s="44"/>
      <c r="BG219" s="44"/>
      <c r="BH219" s="44"/>
      <c r="BI219" s="44"/>
      <c r="BJ219" s="44"/>
      <c r="BK219" s="44"/>
      <c r="BL219" s="44"/>
      <c r="BM219" s="44"/>
      <c r="BN219" s="44"/>
      <c r="BO219" s="44"/>
      <c r="BP219" s="44"/>
      <c r="BQ219" s="44"/>
      <c r="BR219" s="44"/>
      <c r="BS219" s="44"/>
      <c r="BT219" s="44"/>
      <c r="BU219" s="44"/>
      <c r="BV219" s="44"/>
      <c r="BW219" s="44"/>
      <c r="BX219" s="44"/>
      <c r="BY219" s="44"/>
      <c r="BZ219" s="44"/>
      <c r="CA219" s="44"/>
      <c r="CB219" s="44"/>
      <c r="CC219" s="44"/>
      <c r="CD219" s="44"/>
      <c r="CE219" s="44"/>
      <c r="CF219" s="44"/>
      <c r="CG219" s="44"/>
      <c r="CH219" s="44"/>
      <c r="CI219" s="44"/>
      <c r="CJ219" s="44"/>
      <c r="CK219" s="44"/>
      <c r="CL219" s="44"/>
      <c r="CM219" s="44"/>
      <c r="CN219" s="44"/>
      <c r="CO219" s="44"/>
      <c r="CP219" s="44"/>
      <c r="CQ219" s="44"/>
      <c r="CR219" s="44"/>
      <c r="CS219" s="44"/>
      <c r="CT219" s="44"/>
      <c r="CU219" s="44"/>
      <c r="CV219" s="44"/>
      <c r="CW219" s="44"/>
      <c r="CX219" s="44"/>
      <c r="CY219" s="44"/>
      <c r="CZ219" s="44"/>
      <c r="DA219" s="44"/>
      <c r="DB219" s="44"/>
      <c r="DC219" s="44"/>
      <c r="DD219" s="45"/>
      <c r="DE219" s="793" t="s">
        <v>18</v>
      </c>
      <c r="DF219" s="575" t="s">
        <v>18</v>
      </c>
      <c r="DG219" s="576" t="s">
        <v>18</v>
      </c>
      <c r="DH219" s="86"/>
      <c r="DI219" s="86"/>
      <c r="DJ219" s="86"/>
      <c r="DK219" s="934"/>
      <c r="DL219" s="934"/>
      <c r="DM219" s="934"/>
      <c r="DN219" s="934"/>
      <c r="DO219" s="934"/>
      <c r="DP219" s="934"/>
      <c r="DQ219" s="934"/>
      <c r="DR219" s="934"/>
      <c r="DS219" s="934"/>
    </row>
    <row r="220" spans="1:123" ht="14" thickBot="1" x14ac:dyDescent="0.2">
      <c r="A220" s="80"/>
      <c r="B220" s="297" t="s">
        <v>592</v>
      </c>
      <c r="C220" s="44"/>
      <c r="D220" s="44"/>
      <c r="E220" s="44"/>
      <c r="F220" s="44" t="s">
        <v>18</v>
      </c>
      <c r="G220" s="575">
        <f>SUM(G214:G218)</f>
        <v>1428.9</v>
      </c>
      <c r="H220" s="575">
        <f>+(G220*0.3048)</f>
        <v>435.52872000000008</v>
      </c>
      <c r="I220" s="575">
        <f>SUM(I214:I218)</f>
        <v>1407</v>
      </c>
      <c r="J220" s="575">
        <f>+(I220*0.3048)</f>
        <v>428.85360000000003</v>
      </c>
      <c r="K220" s="575">
        <f>SUM(K214:K218)</f>
        <v>31194.899999999998</v>
      </c>
      <c r="L220" s="575">
        <f>+(K220*0.3048)</f>
        <v>9508.2055199999995</v>
      </c>
      <c r="M220" s="295" t="s">
        <v>18</v>
      </c>
      <c r="N220" s="295"/>
      <c r="O220" s="295"/>
      <c r="P220" s="295"/>
      <c r="Q220" s="295"/>
      <c r="R220" s="295"/>
      <c r="S220" s="295"/>
      <c r="T220" s="295"/>
      <c r="U220" s="575">
        <f>SUM(U214:U218)</f>
        <v>145629</v>
      </c>
      <c r="V220" s="575">
        <f>+U220*0.3048</f>
        <v>44387.7192</v>
      </c>
      <c r="W220" s="575">
        <f>SUM(W214:W218)</f>
        <v>105179.17933899999</v>
      </c>
      <c r="X220" s="575">
        <f>+W220*0.3048</f>
        <v>32058.6138625272</v>
      </c>
      <c r="Y220" s="575">
        <v>0</v>
      </c>
      <c r="Z220" s="575">
        <v>0</v>
      </c>
      <c r="AA220" s="588">
        <f>SUM(AA214:AA218)</f>
        <v>102478.54133899999</v>
      </c>
      <c r="AB220" s="588">
        <f>+AA220*0.3048</f>
        <v>31235.459400127198</v>
      </c>
      <c r="AC220" s="575">
        <v>434.1666735</v>
      </c>
      <c r="AD220" s="575">
        <v>132.3340020828</v>
      </c>
      <c r="AE220" s="575">
        <v>0</v>
      </c>
      <c r="AF220" s="575">
        <v>0</v>
      </c>
      <c r="AG220" s="575">
        <f>25.2+40.3+37.3+52+39.4</f>
        <v>194.20000000000002</v>
      </c>
      <c r="AH220" s="588">
        <f>+AG220*0.3048</f>
        <v>59.192160000000008</v>
      </c>
      <c r="AI220" s="575">
        <f>SUM(AI214:AI218)</f>
        <v>306.7</v>
      </c>
      <c r="AJ220" s="575">
        <f>SUM(AJ214:AJ218)</f>
        <v>93.482159999999993</v>
      </c>
      <c r="AK220" s="575">
        <f>SUM(AK214:AK218)</f>
        <v>713.52699999999982</v>
      </c>
      <c r="AL220" s="575">
        <f>SUM(AL214:AL218)</f>
        <v>217.48302960000001</v>
      </c>
      <c r="AM220" s="575">
        <f>SUM(AM214:AM218)</f>
        <v>18</v>
      </c>
      <c r="AN220" s="575">
        <f>+AM220*0.3048</f>
        <v>5.4864000000000006</v>
      </c>
      <c r="AO220" s="575">
        <f>SUM(AO214:AO218)</f>
        <v>100</v>
      </c>
      <c r="AP220" s="575">
        <f>+AO220*0.3048</f>
        <v>30.48</v>
      </c>
      <c r="AQ220" s="575">
        <f>SUM(AQ214:AQ218)</f>
        <v>900</v>
      </c>
      <c r="AR220" s="575">
        <f>+AQ220*0.3048</f>
        <v>274.32</v>
      </c>
      <c r="AS220" s="575"/>
      <c r="AT220" s="575"/>
      <c r="AU220" s="575">
        <v>0</v>
      </c>
      <c r="AV220" s="575">
        <v>0</v>
      </c>
      <c r="AW220" s="575">
        <v>0</v>
      </c>
      <c r="AX220" s="575">
        <v>0</v>
      </c>
      <c r="AY220" s="575" t="s">
        <v>18</v>
      </c>
      <c r="AZ220" s="575" t="s">
        <v>18</v>
      </c>
      <c r="BA220" s="575">
        <v>0</v>
      </c>
      <c r="BB220" s="575">
        <v>0</v>
      </c>
      <c r="BC220" s="575">
        <v>0</v>
      </c>
      <c r="BD220" s="575">
        <v>0</v>
      </c>
      <c r="BE220" s="575">
        <v>0</v>
      </c>
      <c r="BF220" s="575">
        <v>0</v>
      </c>
      <c r="BG220" s="589">
        <f>+BI220/5280</f>
        <v>0.30645833333333333</v>
      </c>
      <c r="BH220" s="589">
        <f>1.609344*BG220</f>
        <v>0.49319688</v>
      </c>
      <c r="BI220" s="575">
        <f>SUM(BI214:BI218)</f>
        <v>1618.1</v>
      </c>
      <c r="BJ220" s="588">
        <f>SUM(BJ214:BJ218)</f>
        <v>493.19687999999996</v>
      </c>
      <c r="BK220" s="575">
        <f>SUM(BK214:BK218)</f>
        <v>3236.2</v>
      </c>
      <c r="BL220" s="588">
        <f>SUM(BL214:BL218)</f>
        <v>986.39375999999993</v>
      </c>
      <c r="BM220" s="575">
        <v>5247.0907970438793</v>
      </c>
      <c r="BN220" s="575">
        <v>1599.3132749389745</v>
      </c>
      <c r="BO220" s="700">
        <f>+AC220/BK220</f>
        <v>0.1341594071750819</v>
      </c>
      <c r="BP220" s="700">
        <v>0</v>
      </c>
      <c r="BQ220" s="700">
        <f>+AG220/BI220</f>
        <v>0.12001730424572031</v>
      </c>
      <c r="BR220" s="700">
        <f>+AI220/BI220</f>
        <v>0.1895432915147395</v>
      </c>
      <c r="BS220" s="700">
        <f>+AO220/BK220</f>
        <v>3.0900438786230767E-2</v>
      </c>
      <c r="BT220" s="700">
        <v>2.4400000000000002E-2</v>
      </c>
      <c r="BU220" s="700">
        <v>0.1545</v>
      </c>
      <c r="BV220" s="575">
        <v>33010.29527128287</v>
      </c>
      <c r="BW220" s="575">
        <v>10061.537998687019</v>
      </c>
      <c r="BX220" s="575"/>
      <c r="BY220" s="575">
        <v>38</v>
      </c>
      <c r="BZ220" s="575">
        <f>+BY220*0.3048</f>
        <v>11.5824</v>
      </c>
      <c r="CA220" s="575">
        <v>94.5</v>
      </c>
      <c r="CB220" s="575">
        <f>+CA220*0.3048</f>
        <v>28.803600000000003</v>
      </c>
      <c r="CC220" s="575">
        <f>+AG220*BY220</f>
        <v>7379.6</v>
      </c>
      <c r="CD220" s="575">
        <f>+CC220*0.3048</f>
        <v>2249.3020800000004</v>
      </c>
      <c r="CE220" s="575">
        <f>+Q219*CA220</f>
        <v>6142.5</v>
      </c>
      <c r="CF220" s="575">
        <f>+CE220*0.3048</f>
        <v>1872.2340000000002</v>
      </c>
      <c r="CG220" s="575">
        <f>++CC220+CE220</f>
        <v>13522.1</v>
      </c>
      <c r="CH220" s="575">
        <f>+CG220*0.3048</f>
        <v>4121.5360800000008</v>
      </c>
      <c r="CI220" s="575">
        <v>0</v>
      </c>
      <c r="CJ220" s="575">
        <v>0</v>
      </c>
      <c r="CK220" s="575">
        <v>0</v>
      </c>
      <c r="CL220" s="575">
        <v>0</v>
      </c>
      <c r="CM220" s="575">
        <v>0</v>
      </c>
      <c r="CN220" s="575">
        <v>0</v>
      </c>
      <c r="CO220" s="575">
        <v>0</v>
      </c>
      <c r="CP220" s="575">
        <v>0</v>
      </c>
      <c r="CQ220" s="575">
        <v>0</v>
      </c>
      <c r="CR220" s="575">
        <v>0</v>
      </c>
      <c r="CS220" s="575">
        <v>0</v>
      </c>
      <c r="CT220" s="575">
        <v>0</v>
      </c>
      <c r="CU220" s="575">
        <v>26</v>
      </c>
      <c r="CV220" s="575">
        <f>+CU220*0.3048</f>
        <v>7.9248000000000003</v>
      </c>
      <c r="CW220" s="575">
        <f>49*CU220</f>
        <v>1274</v>
      </c>
      <c r="CX220" s="575">
        <f>+CW220*0.3048</f>
        <v>388.3152</v>
      </c>
      <c r="CY220" s="575">
        <v>1092.5999999999999</v>
      </c>
      <c r="CZ220" s="575">
        <f>+CY220*0.3048</f>
        <v>333.02447999999998</v>
      </c>
      <c r="DA220" s="575">
        <v>1080.75</v>
      </c>
      <c r="DB220" s="575">
        <f>+DA220*0.3048</f>
        <v>329.4126</v>
      </c>
      <c r="DC220" s="575">
        <f>+CY220+DA220</f>
        <v>2173.35</v>
      </c>
      <c r="DD220" s="576">
        <f>+CZ220+DB220</f>
        <v>662.43707999999992</v>
      </c>
      <c r="DE220" s="794">
        <v>185</v>
      </c>
      <c r="DF220" s="589">
        <f>+DE220/BG220</f>
        <v>603.67097212780425</v>
      </c>
      <c r="DG220" s="850">
        <f>+DE220/BH220</f>
        <v>375.1037516701241</v>
      </c>
      <c r="DH220" s="949">
        <v>797.8</v>
      </c>
      <c r="DI220" s="949">
        <f>+DH220/BG220</f>
        <v>2603.2902787219577</v>
      </c>
      <c r="DJ220" s="949">
        <f>+DH220/BH220</f>
        <v>1617.6095842293244</v>
      </c>
      <c r="DK220" s="950">
        <v>796</v>
      </c>
      <c r="DL220" s="950">
        <f>+DK220/BG220</f>
        <v>2597.4167233174712</v>
      </c>
      <c r="DM220" s="950">
        <f>+DK220/BH220</f>
        <v>1613.9599261049664</v>
      </c>
      <c r="DN220" s="950">
        <v>195</v>
      </c>
      <c r="DO220" s="950">
        <f>+DN220/BG220</f>
        <v>636.30183548606385</v>
      </c>
      <c r="DP220" s="950">
        <f>+DN220/BH220</f>
        <v>395.37963013877948</v>
      </c>
      <c r="DQ220" s="946">
        <v>18</v>
      </c>
      <c r="DR220" s="950">
        <f>+DQ220/+BG220</f>
        <v>58.735554044867435</v>
      </c>
      <c r="DS220" s="950">
        <f>+DQ220/BH220</f>
        <v>36.496581243579641</v>
      </c>
    </row>
    <row r="221" spans="1:123" ht="14" thickBot="1" x14ac:dyDescent="0.2">
      <c r="A221" s="80"/>
      <c r="B221" s="297" t="s">
        <v>126</v>
      </c>
      <c r="C221" s="44"/>
      <c r="D221" s="44"/>
      <c r="E221" s="44"/>
      <c r="F221" s="44" t="s">
        <v>18</v>
      </c>
      <c r="G221" s="295"/>
      <c r="H221" s="295"/>
      <c r="I221" s="295"/>
      <c r="J221" s="295"/>
      <c r="K221" s="295"/>
      <c r="L221" s="295"/>
      <c r="M221" s="295"/>
      <c r="N221" s="295"/>
      <c r="O221" s="295"/>
      <c r="P221" s="295"/>
      <c r="Q221" s="295"/>
      <c r="R221" s="295"/>
      <c r="S221" s="296" t="s">
        <v>18</v>
      </c>
      <c r="T221" s="295"/>
      <c r="U221" s="296" t="s">
        <v>18</v>
      </c>
      <c r="V221" s="295"/>
      <c r="W221" s="295"/>
      <c r="X221" s="295"/>
      <c r="Y221" s="295"/>
      <c r="Z221" s="295"/>
      <c r="AA221" s="588">
        <f>+AA220-CW220</f>
        <v>101204.54133899999</v>
      </c>
      <c r="AB221" s="588">
        <v>31235.459400127198</v>
      </c>
      <c r="AC221" s="295"/>
      <c r="AD221" s="295"/>
      <c r="AE221" s="295"/>
      <c r="AF221" s="295"/>
      <c r="AG221" s="295"/>
      <c r="AH221" s="295"/>
      <c r="AI221" s="295"/>
      <c r="AJ221" s="295"/>
      <c r="AK221" s="295"/>
      <c r="AL221" s="295"/>
      <c r="AM221" s="295"/>
      <c r="AN221" s="295"/>
      <c r="AO221" s="295"/>
      <c r="AP221" s="296" t="s">
        <v>18</v>
      </c>
      <c r="AQ221" s="295"/>
      <c r="AR221" s="295"/>
      <c r="AS221" s="295"/>
      <c r="AT221" s="295"/>
      <c r="AU221" s="295"/>
      <c r="AV221" s="295"/>
      <c r="AW221" s="295"/>
      <c r="AX221" s="295"/>
      <c r="AY221" s="295"/>
      <c r="AZ221" s="295"/>
      <c r="BA221" s="295"/>
      <c r="BB221" s="295"/>
      <c r="BC221" s="295"/>
      <c r="BD221" s="295"/>
      <c r="BE221" s="295"/>
      <c r="BF221" s="295"/>
      <c r="BG221" s="295"/>
      <c r="BH221" s="295"/>
      <c r="BI221" s="295"/>
      <c r="BJ221" s="295"/>
      <c r="BK221" s="295"/>
      <c r="BL221" s="295"/>
      <c r="BM221" s="295"/>
      <c r="BN221" s="295"/>
      <c r="BO221" s="44"/>
      <c r="BP221" s="44"/>
      <c r="BQ221" s="44"/>
      <c r="BR221" s="44"/>
      <c r="BS221" s="44"/>
      <c r="BT221" s="44"/>
      <c r="BU221" s="44"/>
      <c r="BV221" s="44"/>
      <c r="BW221" s="44"/>
      <c r="BX221" s="44"/>
      <c r="BY221" s="44"/>
      <c r="BZ221" s="44"/>
      <c r="CA221" s="44"/>
      <c r="CB221" s="44"/>
      <c r="CC221" s="44"/>
      <c r="CD221" s="44"/>
      <c r="CE221" s="44"/>
      <c r="CF221" s="44"/>
      <c r="CG221" s="44"/>
      <c r="CH221" s="44"/>
      <c r="CI221" s="44"/>
      <c r="CJ221" s="44"/>
      <c r="CK221" s="44"/>
      <c r="CL221" s="44"/>
      <c r="CM221" s="44"/>
      <c r="CN221" s="44"/>
      <c r="CO221" s="44"/>
      <c r="CP221" s="44"/>
      <c r="CQ221" s="44"/>
      <c r="CR221" s="44"/>
      <c r="CS221" s="44"/>
      <c r="CT221" s="44"/>
      <c r="CU221" s="44"/>
      <c r="CV221" s="44"/>
      <c r="CW221" s="44"/>
      <c r="CX221" s="44"/>
      <c r="CY221" s="44"/>
      <c r="CZ221" s="44"/>
      <c r="DA221" s="44"/>
      <c r="DB221" s="44"/>
      <c r="DC221" s="44"/>
      <c r="DD221" s="45"/>
      <c r="DE221" s="86"/>
      <c r="DF221" s="44"/>
      <c r="DG221" s="45"/>
      <c r="DH221" s="86"/>
      <c r="DI221" s="86"/>
      <c r="DJ221" s="86"/>
      <c r="DK221" s="934"/>
      <c r="DL221" s="934"/>
      <c r="DM221" s="934"/>
      <c r="DN221" s="934"/>
      <c r="DP221" s="934"/>
      <c r="DQ221" s="946" t="s">
        <v>18</v>
      </c>
      <c r="DR221" s="950" t="s">
        <v>313</v>
      </c>
      <c r="DS221" s="950" t="s">
        <v>18</v>
      </c>
    </row>
    <row r="222" spans="1:123" ht="14" thickBot="1" x14ac:dyDescent="0.2">
      <c r="A222" s="82"/>
      <c r="B222" s="465" t="s">
        <v>705</v>
      </c>
      <c r="C222" s="313" t="s">
        <v>18</v>
      </c>
      <c r="D222" s="34"/>
      <c r="E222" s="34" t="s">
        <v>18</v>
      </c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 t="s">
        <v>18</v>
      </c>
      <c r="S222" s="34"/>
      <c r="T222" s="34"/>
      <c r="U222" s="174"/>
      <c r="V222" s="174"/>
      <c r="W222" s="34"/>
      <c r="X222" s="34"/>
      <c r="Y222" s="34"/>
      <c r="Z222" s="34"/>
      <c r="AA222" s="383" t="s">
        <v>730</v>
      </c>
      <c r="AB222" s="383"/>
      <c r="AC222" s="34"/>
      <c r="AD222" s="34"/>
      <c r="AE222" s="34"/>
      <c r="AF222" s="34"/>
      <c r="AG222" s="34"/>
      <c r="AH222" s="34"/>
      <c r="AI222" s="34"/>
      <c r="AJ222" s="34"/>
      <c r="AK222" s="34"/>
      <c r="AL222" s="34"/>
      <c r="AM222" s="34"/>
      <c r="AN222" s="34"/>
      <c r="AO222" s="313" t="s">
        <v>18</v>
      </c>
      <c r="AP222" s="34"/>
      <c r="AQ222" s="313" t="s">
        <v>18</v>
      </c>
      <c r="AR222" s="34"/>
      <c r="AS222" s="34"/>
      <c r="AT222" s="34"/>
      <c r="AU222" s="34"/>
      <c r="AV222" s="34"/>
      <c r="AW222" s="34"/>
      <c r="AX222" s="34"/>
      <c r="AY222" s="34"/>
      <c r="AZ222" s="34"/>
      <c r="BA222" s="34"/>
      <c r="BB222" s="34"/>
      <c r="BC222" s="34"/>
      <c r="BD222" s="34"/>
      <c r="BE222" s="34"/>
      <c r="BF222" s="34"/>
      <c r="BG222" s="34"/>
      <c r="BH222" s="34"/>
      <c r="BI222" s="34"/>
      <c r="BJ222" s="34"/>
      <c r="BK222" s="34"/>
      <c r="BL222" s="34"/>
      <c r="BM222" s="34"/>
      <c r="BN222" s="34"/>
      <c r="BO222" s="34"/>
      <c r="BP222" s="34"/>
      <c r="BQ222" s="34"/>
      <c r="BR222" s="34"/>
      <c r="BS222" s="34"/>
      <c r="BT222" s="34"/>
      <c r="BU222" s="34"/>
      <c r="BV222" s="34"/>
      <c r="BW222" s="34"/>
      <c r="BX222" s="34"/>
      <c r="BY222" s="34"/>
      <c r="BZ222" s="34"/>
      <c r="CA222" s="34"/>
      <c r="CB222" s="34"/>
      <c r="CC222" s="34"/>
      <c r="CD222" s="34"/>
      <c r="CE222" s="34"/>
      <c r="CF222" s="34"/>
      <c r="CG222" s="34"/>
      <c r="CH222" s="34"/>
      <c r="CI222" s="34"/>
      <c r="CJ222" s="34"/>
      <c r="CK222" s="34"/>
      <c r="CL222" s="34"/>
      <c r="CM222" s="34"/>
      <c r="CN222" s="34"/>
      <c r="CO222" s="34"/>
      <c r="CP222" s="34"/>
      <c r="CQ222" s="34"/>
      <c r="CR222" s="34"/>
      <c r="CS222" s="34"/>
      <c r="CT222" s="34"/>
      <c r="CU222" s="34"/>
      <c r="CV222" s="34"/>
      <c r="CW222" s="34"/>
      <c r="CX222" s="34"/>
      <c r="CY222" s="34"/>
      <c r="CZ222" s="34"/>
      <c r="DA222" s="34"/>
      <c r="DB222" s="34"/>
      <c r="DC222" s="34"/>
      <c r="DD222" s="35"/>
      <c r="DE222" s="417" t="s">
        <v>762</v>
      </c>
      <c r="DF222" s="313" t="s">
        <v>766</v>
      </c>
      <c r="DG222" s="35"/>
      <c r="DH222" s="86"/>
      <c r="DI222" s="86"/>
      <c r="DJ222" s="86"/>
      <c r="DK222" s="934"/>
      <c r="DL222" s="934"/>
      <c r="DM222" s="934"/>
      <c r="DN222" s="934"/>
      <c r="DO222" s="934"/>
      <c r="DP222" s="934"/>
      <c r="DQ222" s="95"/>
      <c r="DR222" s="95"/>
      <c r="DS222" s="95"/>
    </row>
    <row r="223" spans="1:123" x14ac:dyDescent="0.15">
      <c r="C223" s="2" t="s">
        <v>18</v>
      </c>
      <c r="G223" t="s">
        <v>18</v>
      </c>
      <c r="H223" t="s">
        <v>18</v>
      </c>
      <c r="AO223" s="2" t="s">
        <v>18</v>
      </c>
      <c r="BG223" s="859" t="s">
        <v>18</v>
      </c>
      <c r="BH223" s="859" t="s">
        <v>18</v>
      </c>
      <c r="BI223" s="859" t="s">
        <v>18</v>
      </c>
      <c r="BK223" t="s">
        <v>18</v>
      </c>
      <c r="BZ223" t="s">
        <v>18</v>
      </c>
      <c r="CA223" t="s">
        <v>18</v>
      </c>
      <c r="CC223" t="s">
        <v>18</v>
      </c>
      <c r="DH223" s="14"/>
      <c r="DI223" s="14"/>
      <c r="DJ223" s="14"/>
      <c r="DK223" s="14"/>
      <c r="DL223" s="14"/>
      <c r="DM223" s="14"/>
      <c r="DQ223" s="14"/>
      <c r="DR223" s="14"/>
      <c r="DS223" s="14"/>
    </row>
    <row r="224" spans="1:123" ht="14" thickBot="1" x14ac:dyDescent="0.2">
      <c r="B224" s="1" t="s">
        <v>352</v>
      </c>
      <c r="C224" s="13" t="s">
        <v>95</v>
      </c>
      <c r="D224" s="13" t="s">
        <v>96</v>
      </c>
      <c r="E224" s="84" t="s">
        <v>297</v>
      </c>
      <c r="F224" s="84" t="s">
        <v>714</v>
      </c>
      <c r="J224" t="s">
        <v>18</v>
      </c>
      <c r="K224" t="s">
        <v>18</v>
      </c>
      <c r="N224" t="s">
        <v>18</v>
      </c>
      <c r="AG224" s="2" t="s">
        <v>18</v>
      </c>
      <c r="AL224" s="2" t="s">
        <v>18</v>
      </c>
      <c r="BG224" s="859" t="s">
        <v>18</v>
      </c>
      <c r="BI224" s="2" t="s">
        <v>18</v>
      </c>
      <c r="BK224" t="s">
        <v>18</v>
      </c>
      <c r="BL224" s="2" t="s">
        <v>18</v>
      </c>
      <c r="DD224" s="40" t="s">
        <v>18</v>
      </c>
      <c r="DE224" s="3"/>
      <c r="DF224" s="40"/>
      <c r="DQ224" s="14"/>
      <c r="DR224" s="14"/>
      <c r="DS224" s="14"/>
    </row>
    <row r="225" spans="2:123" x14ac:dyDescent="0.15">
      <c r="B225" s="48" t="s">
        <v>126</v>
      </c>
      <c r="C225" s="785">
        <f>+AA221</f>
        <v>101204.54133899999</v>
      </c>
      <c r="D225" s="786">
        <f>+(C225*0.3048)</f>
        <v>30847.144200127197</v>
      </c>
      <c r="E225" s="106">
        <f>+D225/D244</f>
        <v>0.69494771878540673</v>
      </c>
      <c r="F225" s="996" t="s">
        <v>18</v>
      </c>
      <c r="G225" s="83"/>
      <c r="H225" t="s">
        <v>18</v>
      </c>
      <c r="I225" s="2"/>
      <c r="J225" s="8" t="s">
        <v>18</v>
      </c>
      <c r="M225" s="3"/>
      <c r="Q225" s="2" t="s">
        <v>18</v>
      </c>
      <c r="R225" s="3"/>
      <c r="S225" s="40"/>
      <c r="T225" s="3"/>
      <c r="CD225" s="2" t="s">
        <v>18</v>
      </c>
      <c r="DD225" s="2" t="s">
        <v>18</v>
      </c>
      <c r="DO225" s="859" t="s">
        <v>18</v>
      </c>
      <c r="DQ225" s="14"/>
      <c r="DR225" s="14"/>
      <c r="DS225" s="14"/>
    </row>
    <row r="226" spans="2:123" x14ac:dyDescent="0.15">
      <c r="B226" s="107" t="s">
        <v>269</v>
      </c>
      <c r="C226" s="108">
        <f>+AQ220</f>
        <v>900</v>
      </c>
      <c r="D226" s="109">
        <f>+(C226*0.3048)</f>
        <v>274.32</v>
      </c>
      <c r="E226" s="737">
        <f>+D226/D244</f>
        <v>6.1800877572461528E-3</v>
      </c>
      <c r="F226" s="788">
        <v>6.1800877572461528E-3</v>
      </c>
      <c r="G226" s="136"/>
      <c r="J226" s="2"/>
      <c r="M226" s="3"/>
      <c r="Q226" s="2" t="s">
        <v>18</v>
      </c>
      <c r="R226" s="3"/>
      <c r="S226" s="40"/>
      <c r="T226" s="3"/>
      <c r="AC226" s="2" t="s">
        <v>18</v>
      </c>
      <c r="AD226" s="2" t="s">
        <v>18</v>
      </c>
      <c r="AE226" s="2"/>
      <c r="AF226" s="2"/>
      <c r="AQ226" s="2" t="s">
        <v>18</v>
      </c>
    </row>
    <row r="227" spans="2:123" x14ac:dyDescent="0.15">
      <c r="B227" s="107" t="s">
        <v>270</v>
      </c>
      <c r="C227" s="108">
        <f>+C225-C226</f>
        <v>100304.54133899999</v>
      </c>
      <c r="D227" s="109">
        <f>+(C227*0.3048)</f>
        <v>30572.824200127197</v>
      </c>
      <c r="E227" s="737">
        <f>+C227/C244</f>
        <v>0.68876763102816052</v>
      </c>
      <c r="F227" s="788">
        <v>0.68876763102816052</v>
      </c>
      <c r="G227" s="136"/>
      <c r="M227" s="3"/>
      <c r="P227" s="2" t="s">
        <v>18</v>
      </c>
      <c r="R227" s="3"/>
      <c r="S227" s="40"/>
      <c r="T227" s="3"/>
      <c r="BH227" s="2" t="s">
        <v>18</v>
      </c>
    </row>
    <row r="228" spans="2:123" x14ac:dyDescent="0.15">
      <c r="B228" s="107" t="s">
        <v>281</v>
      </c>
      <c r="C228" s="111">
        <v>8.3000000000000001E-3</v>
      </c>
      <c r="D228" s="109" t="s">
        <v>18</v>
      </c>
      <c r="E228" s="112"/>
      <c r="F228" s="788"/>
      <c r="G228" s="136"/>
      <c r="I228" t="s">
        <v>18</v>
      </c>
      <c r="M228" s="3"/>
      <c r="R228" s="3"/>
      <c r="S228" s="40"/>
      <c r="T228" s="3"/>
      <c r="AA228" s="2" t="s">
        <v>18</v>
      </c>
      <c r="BA228" s="866" t="s">
        <v>18</v>
      </c>
    </row>
    <row r="229" spans="2:123" x14ac:dyDescent="0.15">
      <c r="B229" s="107" t="s">
        <v>278</v>
      </c>
      <c r="C229" s="108">
        <f>+C228*C227</f>
        <v>832.52769311369991</v>
      </c>
      <c r="D229" s="109">
        <f>+(C229*0.3048)</f>
        <v>253.75444086105574</v>
      </c>
      <c r="E229" s="110">
        <f>+D229/D244</f>
        <v>5.7167713375337326E-3</v>
      </c>
      <c r="F229" s="788"/>
      <c r="G229" s="136"/>
      <c r="I229" s="234" t="s">
        <v>18</v>
      </c>
      <c r="M229" s="3"/>
      <c r="R229" s="3"/>
      <c r="S229" s="40"/>
      <c r="T229" s="3"/>
    </row>
    <row r="230" spans="2:123" x14ac:dyDescent="0.15">
      <c r="B230" s="107" t="s">
        <v>273</v>
      </c>
      <c r="C230" s="113">
        <f>+CR223</f>
        <v>0</v>
      </c>
      <c r="D230" s="113">
        <f>+CS223</f>
        <v>0</v>
      </c>
      <c r="E230" s="110">
        <f>+D230/D244</f>
        <v>0</v>
      </c>
      <c r="F230" s="788"/>
      <c r="G230" s="136"/>
      <c r="J230" s="2"/>
      <c r="AA230" s="2" t="s">
        <v>18</v>
      </c>
      <c r="AI230" s="2" t="s">
        <v>18</v>
      </c>
    </row>
    <row r="231" spans="2:123" x14ac:dyDescent="0.15">
      <c r="B231" s="107" t="s">
        <v>272</v>
      </c>
      <c r="C231" s="114">
        <f>1-C228</f>
        <v>0.99170000000000003</v>
      </c>
      <c r="D231" s="111" t="s">
        <v>18</v>
      </c>
      <c r="E231" s="112"/>
      <c r="F231" s="788"/>
      <c r="G231" s="136"/>
    </row>
    <row r="232" spans="2:123" x14ac:dyDescent="0.15">
      <c r="B232" s="107" t="s">
        <v>271</v>
      </c>
      <c r="C232" s="109">
        <f>+C227*C231</f>
        <v>99472.013645886298</v>
      </c>
      <c r="D232" s="115">
        <f>+(C232*0.3048)</f>
        <v>30319.069759266145</v>
      </c>
      <c r="E232" s="116">
        <f>+D232/D244</f>
        <v>0.68305085969062695</v>
      </c>
      <c r="F232" s="788"/>
      <c r="G232" s="136"/>
      <c r="I232" s="2" t="s">
        <v>18</v>
      </c>
      <c r="Z232" s="2" t="s">
        <v>18</v>
      </c>
    </row>
    <row r="233" spans="2:123" x14ac:dyDescent="0.15">
      <c r="B233" s="91" t="s">
        <v>273</v>
      </c>
      <c r="C233" s="109">
        <f>+CG220-CW220</f>
        <v>12248.1</v>
      </c>
      <c r="D233" s="109">
        <f>+(C233*0.3048)</f>
        <v>3733.2208800000003</v>
      </c>
      <c r="E233" s="110">
        <f>+D233/D244</f>
        <v>8.4104814288362903E-2</v>
      </c>
      <c r="F233" s="788"/>
      <c r="G233" s="136"/>
      <c r="I233" s="2" t="s">
        <v>18</v>
      </c>
      <c r="J233" s="2" t="s">
        <v>18</v>
      </c>
    </row>
    <row r="234" spans="2:123" x14ac:dyDescent="0.15">
      <c r="B234" s="107" t="s">
        <v>282</v>
      </c>
      <c r="C234" s="111">
        <v>9.5699999999999993E-2</v>
      </c>
      <c r="D234" s="958" t="s">
        <v>18</v>
      </c>
      <c r="E234" s="112"/>
      <c r="F234" s="788"/>
      <c r="G234" s="136"/>
      <c r="I234" s="2" t="s">
        <v>18</v>
      </c>
      <c r="J234" s="2" t="s">
        <v>18</v>
      </c>
    </row>
    <row r="235" spans="2:123" x14ac:dyDescent="0.15">
      <c r="B235" s="91" t="s">
        <v>280</v>
      </c>
      <c r="C235" s="478">
        <f>+C227*C234</f>
        <v>9599.1446061422976</v>
      </c>
      <c r="D235" s="109">
        <f>+(C235*0.3048)</f>
        <v>2925.8192759521726</v>
      </c>
      <c r="E235" s="110">
        <f>+D235/D244</f>
        <v>6.5915062289394963E-2</v>
      </c>
      <c r="F235" s="788"/>
      <c r="G235" s="233" t="s">
        <v>18</v>
      </c>
      <c r="I235" s="2" t="s">
        <v>18</v>
      </c>
      <c r="J235" s="2" t="s">
        <v>18</v>
      </c>
    </row>
    <row r="236" spans="2:123" x14ac:dyDescent="0.15">
      <c r="B236" s="107" t="s">
        <v>274</v>
      </c>
      <c r="C236" s="109">
        <f>+C232-C233</f>
        <v>87223.913645886292</v>
      </c>
      <c r="D236" s="109">
        <f>+(C236*0.3048)</f>
        <v>26585.848879266145</v>
      </c>
      <c r="E236" s="110">
        <f>+D236/D244</f>
        <v>0.59894604540226404</v>
      </c>
      <c r="F236" s="788"/>
      <c r="G236" s="136"/>
      <c r="J236" s="2" t="s">
        <v>18</v>
      </c>
    </row>
    <row r="237" spans="2:123" x14ac:dyDescent="0.15">
      <c r="B237" s="107" t="s">
        <v>275</v>
      </c>
      <c r="C237" s="109">
        <f>+K220+CW220</f>
        <v>32468.899999999998</v>
      </c>
      <c r="D237" s="109">
        <f>+(C237*0.3048)</f>
        <v>9896.5207200000004</v>
      </c>
      <c r="E237" s="737">
        <f>+C237/C244</f>
        <v>0.22295627931249956</v>
      </c>
      <c r="F237" s="788">
        <f>+D237/D244</f>
        <v>0.22295627931249959</v>
      </c>
      <c r="G237" s="136"/>
      <c r="I237" s="2" t="s">
        <v>18</v>
      </c>
      <c r="K237" s="2" t="s">
        <v>18</v>
      </c>
    </row>
    <row r="238" spans="2:123" x14ac:dyDescent="0.15">
      <c r="B238" s="107" t="s">
        <v>276</v>
      </c>
      <c r="C238" s="109">
        <f>+C233+C237</f>
        <v>44717</v>
      </c>
      <c r="D238" s="109">
        <f t="shared" ref="D238:D246" si="36">+(C238*0.3048)</f>
        <v>13629.741600000001</v>
      </c>
      <c r="E238" s="110">
        <f>+D238/D244</f>
        <v>0.30706109360086248</v>
      </c>
      <c r="F238" s="788"/>
      <c r="G238" s="136"/>
      <c r="I238" s="2" t="s">
        <v>18</v>
      </c>
      <c r="J238" s="2" t="s">
        <v>18</v>
      </c>
    </row>
    <row r="239" spans="2:123" x14ac:dyDescent="0.15">
      <c r="B239" s="107" t="s">
        <v>283</v>
      </c>
      <c r="C239" s="84">
        <f>+AU220</f>
        <v>0</v>
      </c>
      <c r="D239" s="109">
        <f t="shared" si="36"/>
        <v>0</v>
      </c>
      <c r="E239" s="737">
        <f>+D239/D244</f>
        <v>0</v>
      </c>
      <c r="F239" s="788">
        <f>+C239/C244</f>
        <v>0</v>
      </c>
      <c r="G239" s="136"/>
      <c r="J239" s="2" t="s">
        <v>18</v>
      </c>
    </row>
    <row r="240" spans="2:123" x14ac:dyDescent="0.15">
      <c r="B240" s="107" t="s">
        <v>277</v>
      </c>
      <c r="C240" s="84">
        <f>+C239+C235</f>
        <v>9599.1446061422976</v>
      </c>
      <c r="D240" s="109">
        <f t="shared" si="36"/>
        <v>2925.8192759521726</v>
      </c>
      <c r="E240" s="110">
        <f>+D240/D244</f>
        <v>6.5915062289394963E-2</v>
      </c>
      <c r="F240" s="788"/>
      <c r="G240" s="136"/>
      <c r="I240" s="2" t="s">
        <v>18</v>
      </c>
      <c r="J240" s="2" t="s">
        <v>18</v>
      </c>
      <c r="BN240" s="2" t="s">
        <v>18</v>
      </c>
    </row>
    <row r="241" spans="1:108" x14ac:dyDescent="0.15">
      <c r="B241" s="107" t="s">
        <v>284</v>
      </c>
      <c r="C241" s="108">
        <f>++C237+C239</f>
        <v>32468.899999999998</v>
      </c>
      <c r="D241" s="109">
        <f t="shared" si="36"/>
        <v>9896.5207200000004</v>
      </c>
      <c r="E241" s="110">
        <f>+D241/D244</f>
        <v>0.22295627931249959</v>
      </c>
      <c r="F241" s="788"/>
      <c r="G241" s="233" t="s">
        <v>18</v>
      </c>
      <c r="I241" s="2" t="s">
        <v>18</v>
      </c>
    </row>
    <row r="242" spans="1:108" x14ac:dyDescent="0.15">
      <c r="B242" s="107" t="s">
        <v>285</v>
      </c>
      <c r="C242" s="108">
        <f>++C238+C240</f>
        <v>54316.144606142298</v>
      </c>
      <c r="D242" s="109">
        <f t="shared" si="36"/>
        <v>16555.560875952175</v>
      </c>
      <c r="E242" s="110">
        <f>+D242/D244</f>
        <v>0.37297615589025745</v>
      </c>
      <c r="F242" s="788"/>
      <c r="G242" s="136"/>
      <c r="I242" s="2" t="s">
        <v>18</v>
      </c>
    </row>
    <row r="243" spans="1:108" x14ac:dyDescent="0.15">
      <c r="B243" s="107" t="s">
        <v>296</v>
      </c>
      <c r="C243" s="117">
        <f>+BM220</f>
        <v>5247.0907970438793</v>
      </c>
      <c r="D243" s="109">
        <f t="shared" si="36"/>
        <v>1599.3132749389745</v>
      </c>
      <c r="E243" s="737">
        <f>+C243/C244</f>
        <v>3.6030535106633149E-2</v>
      </c>
      <c r="F243" s="788">
        <f>+C243/C244</f>
        <v>3.6030535106633149E-2</v>
      </c>
      <c r="G243" s="136"/>
      <c r="H243" s="2" t="s">
        <v>18</v>
      </c>
    </row>
    <row r="244" spans="1:108" x14ac:dyDescent="0.15">
      <c r="B244" s="107" t="s">
        <v>287</v>
      </c>
      <c r="C244" s="783">
        <f>+U220</f>
        <v>145629</v>
      </c>
      <c r="D244" s="109">
        <f t="shared" si="36"/>
        <v>44387.7192</v>
      </c>
      <c r="E244" s="112"/>
      <c r="F244" s="788"/>
      <c r="G244" s="136"/>
      <c r="I244" s="2" t="s">
        <v>18</v>
      </c>
    </row>
    <row r="245" spans="1:108" x14ac:dyDescent="0.15">
      <c r="B245" s="107" t="s">
        <v>300</v>
      </c>
      <c r="C245" s="783">
        <f>+(C244-C225-C241-C243)</f>
        <v>6708.4678639561344</v>
      </c>
      <c r="D245" s="109">
        <f t="shared" si="36"/>
        <v>2044.7410049338298</v>
      </c>
      <c r="E245" s="737">
        <f>+D245/D244</f>
        <v>4.606546679546062E-2</v>
      </c>
      <c r="F245" s="788">
        <f>+D245/D244</f>
        <v>4.606546679546062E-2</v>
      </c>
      <c r="G245" s="136"/>
      <c r="I245" s="2" t="s">
        <v>18</v>
      </c>
    </row>
    <row r="246" spans="1:108" ht="14" thickBot="1" x14ac:dyDescent="0.2">
      <c r="B246" s="89" t="s">
        <v>49</v>
      </c>
      <c r="C246" s="784">
        <f>+BV220</f>
        <v>33010.29527128287</v>
      </c>
      <c r="D246" s="119">
        <f t="shared" si="36"/>
        <v>10061.537998687019</v>
      </c>
      <c r="E246" s="120">
        <f>+D246/D244</f>
        <v>0.22667391296570649</v>
      </c>
      <c r="F246" s="788"/>
      <c r="G246" s="136"/>
    </row>
    <row r="247" spans="1:108" ht="14" thickBot="1" x14ac:dyDescent="0.2">
      <c r="B247" s="89" t="s">
        <v>587</v>
      </c>
      <c r="C247" s="704">
        <f>+DC220/BK220</f>
        <v>0.67157468636054629</v>
      </c>
      <c r="D247" s="704">
        <f>+DD220/BL220</f>
        <v>0.67157468636054629</v>
      </c>
      <c r="E247" s="120"/>
      <c r="F247" s="707"/>
      <c r="G247" s="35"/>
    </row>
    <row r="248" spans="1:108" ht="14" thickBot="1" x14ac:dyDescent="0.2">
      <c r="B248" s="42" t="s">
        <v>715</v>
      </c>
      <c r="C248" s="44"/>
      <c r="D248" s="44"/>
      <c r="E248" s="44"/>
      <c r="F248" s="787">
        <f>SUM(F225:F246)</f>
        <v>1</v>
      </c>
      <c r="G248" s="45"/>
    </row>
    <row r="249" spans="1:108" x14ac:dyDescent="0.15">
      <c r="A249" s="62" t="s">
        <v>18</v>
      </c>
      <c r="B249" s="265" t="s">
        <v>705</v>
      </c>
      <c r="C249" s="755" t="s">
        <v>294</v>
      </c>
      <c r="D249" s="14"/>
      <c r="E249" s="136"/>
    </row>
    <row r="250" spans="1:108" ht="14" thickBot="1" x14ac:dyDescent="0.2">
      <c r="B250" s="82"/>
      <c r="C250" s="189" t="s">
        <v>295</v>
      </c>
      <c r="D250" s="34"/>
      <c r="E250" s="35"/>
    </row>
    <row r="251" spans="1:108" ht="14" thickBot="1" x14ac:dyDescent="0.2">
      <c r="A251" s="372"/>
      <c r="B251" s="726"/>
      <c r="C251" s="257"/>
      <c r="D251" s="634"/>
      <c r="E251" s="634"/>
      <c r="F251" s="727"/>
      <c r="G251" s="727"/>
      <c r="H251" s="727"/>
      <c r="I251" s="727"/>
      <c r="J251" s="727"/>
      <c r="K251" s="257"/>
      <c r="L251" s="257"/>
      <c r="M251" s="257"/>
      <c r="N251" s="257"/>
      <c r="O251" s="257"/>
      <c r="P251" s="257"/>
      <c r="Q251" s="257"/>
      <c r="R251" s="257"/>
      <c r="S251" s="257"/>
      <c r="T251" s="257"/>
      <c r="U251" s="257"/>
      <c r="V251" s="257"/>
      <c r="W251" s="257"/>
      <c r="X251" s="257"/>
      <c r="Y251" s="257"/>
      <c r="Z251" s="257"/>
      <c r="AA251" s="257"/>
      <c r="AB251" s="257"/>
      <c r="AC251" s="634"/>
      <c r="AD251" s="257"/>
      <c r="AE251" s="257"/>
      <c r="AF251" s="257"/>
      <c r="AG251" s="257"/>
      <c r="AH251" s="257"/>
      <c r="AI251" s="257"/>
      <c r="AJ251" s="257"/>
      <c r="AK251" s="257"/>
      <c r="AL251" s="257"/>
      <c r="AM251" s="257"/>
      <c r="AN251" s="257"/>
      <c r="AO251" s="257"/>
      <c r="AP251" s="257"/>
      <c r="AQ251" s="257"/>
      <c r="AR251" s="257"/>
      <c r="AS251" s="257"/>
      <c r="AT251" s="257"/>
      <c r="AU251" s="257"/>
      <c r="AV251" s="257"/>
      <c r="AW251" s="257"/>
      <c r="AX251" s="257"/>
      <c r="AY251" s="257"/>
      <c r="AZ251" s="257"/>
      <c r="BA251" s="257"/>
      <c r="BB251" s="257"/>
      <c r="BC251" s="257"/>
      <c r="BD251" s="257"/>
      <c r="BE251" s="257"/>
      <c r="BF251" s="257"/>
      <c r="BG251" s="257"/>
      <c r="BH251" s="257"/>
      <c r="BI251" s="257"/>
      <c r="BJ251" s="257"/>
      <c r="BK251" s="257"/>
      <c r="BL251" s="257"/>
      <c r="BM251" s="257"/>
      <c r="BN251" s="257"/>
      <c r="BO251" s="257"/>
      <c r="BP251" s="257"/>
      <c r="BQ251" s="257"/>
      <c r="BR251" s="257"/>
      <c r="BS251" s="257"/>
      <c r="BT251" s="257"/>
      <c r="BU251" s="257"/>
      <c r="BV251" s="257"/>
      <c r="BW251" s="257"/>
      <c r="BX251" s="257"/>
      <c r="BY251" s="257"/>
      <c r="BZ251" s="257"/>
      <c r="CA251" s="257"/>
      <c r="CB251" s="257"/>
      <c r="CC251" s="257"/>
      <c r="CD251" s="257"/>
      <c r="CE251" s="257"/>
      <c r="CF251" s="257"/>
      <c r="CG251" s="257"/>
      <c r="CH251" s="257"/>
      <c r="CI251" s="257"/>
      <c r="CJ251" s="257"/>
      <c r="CK251" s="257"/>
      <c r="CL251" s="257"/>
      <c r="CM251" s="257"/>
      <c r="CN251" s="257"/>
      <c r="CO251" s="257"/>
      <c r="CP251" s="257"/>
      <c r="CQ251" s="257"/>
      <c r="CR251" s="257"/>
      <c r="CS251" s="257"/>
      <c r="CT251" s="257"/>
      <c r="CU251" s="257"/>
      <c r="CV251" s="257"/>
      <c r="CW251" s="257"/>
      <c r="CX251" s="257"/>
      <c r="CY251" s="257"/>
      <c r="CZ251" s="257"/>
      <c r="DA251" s="257"/>
      <c r="DB251" s="257"/>
      <c r="DC251" s="257"/>
      <c r="DD251" s="373"/>
    </row>
    <row r="252" spans="1:108" x14ac:dyDescent="0.15">
      <c r="C252" s="2" t="s">
        <v>18</v>
      </c>
    </row>
    <row r="253" spans="1:108" x14ac:dyDescent="0.15">
      <c r="B253" s="305" t="s">
        <v>933</v>
      </c>
      <c r="C253" s="305" t="s">
        <v>934</v>
      </c>
      <c r="D253" s="305" t="s">
        <v>935</v>
      </c>
    </row>
    <row r="254" spans="1:108" x14ac:dyDescent="0.15">
      <c r="A254" s="1" t="s">
        <v>405</v>
      </c>
      <c r="B254">
        <v>165.91666699999999</v>
      </c>
      <c r="C254">
        <v>15.66667</v>
      </c>
      <c r="D254">
        <v>15.416667</v>
      </c>
    </row>
    <row r="255" spans="1:108" x14ac:dyDescent="0.15">
      <c r="B255">
        <v>24.666699999999999</v>
      </c>
      <c r="C255">
        <v>25.416667</v>
      </c>
      <c r="D255">
        <v>22.9166667</v>
      </c>
    </row>
    <row r="256" spans="1:108" x14ac:dyDescent="0.15">
      <c r="B256">
        <v>20.083333400000001</v>
      </c>
      <c r="C256">
        <v>75</v>
      </c>
      <c r="D256" s="7">
        <f>SUM(D254:D255)</f>
        <v>38.333333699999997</v>
      </c>
    </row>
    <row r="257" spans="1:6" x14ac:dyDescent="0.15">
      <c r="B257">
        <v>91.5</v>
      </c>
      <c r="C257">
        <v>66.25</v>
      </c>
    </row>
    <row r="258" spans="1:6" x14ac:dyDescent="0.15">
      <c r="B258">
        <v>63.666670000000003</v>
      </c>
      <c r="C258">
        <v>24.666699999999999</v>
      </c>
    </row>
    <row r="259" spans="1:6" x14ac:dyDescent="0.15">
      <c r="B259">
        <v>48.166666999999997</v>
      </c>
      <c r="C259">
        <v>35.33334</v>
      </c>
    </row>
    <row r="260" spans="1:6" x14ac:dyDescent="0.15">
      <c r="B260">
        <v>39.083334000000001</v>
      </c>
      <c r="C260" s="7">
        <f>SUM(C254:C259)</f>
        <v>242.33337699999998</v>
      </c>
    </row>
    <row r="261" spans="1:6" x14ac:dyDescent="0.15">
      <c r="B261">
        <v>25</v>
      </c>
    </row>
    <row r="262" spans="1:6" x14ac:dyDescent="0.15">
      <c r="B262">
        <v>23.33334</v>
      </c>
    </row>
    <row r="263" spans="1:6" x14ac:dyDescent="0.15">
      <c r="B263">
        <v>20.166667</v>
      </c>
    </row>
    <row r="264" spans="1:6" x14ac:dyDescent="0.15">
      <c r="B264" s="7">
        <f>SUM(B254:B263)</f>
        <v>521.58337840000002</v>
      </c>
    </row>
    <row r="266" spans="1:6" x14ac:dyDescent="0.15">
      <c r="A266" s="1" t="s">
        <v>404</v>
      </c>
      <c r="B266">
        <v>85.583333999999994</v>
      </c>
      <c r="C266">
        <v>75.75</v>
      </c>
      <c r="D266">
        <v>20.666699999999999</v>
      </c>
    </row>
    <row r="267" spans="1:6" x14ac:dyDescent="0.15">
      <c r="B267">
        <v>82</v>
      </c>
      <c r="C267">
        <v>100.25</v>
      </c>
      <c r="D267">
        <v>17.166667</v>
      </c>
    </row>
    <row r="268" spans="1:6" x14ac:dyDescent="0.15">
      <c r="B268">
        <v>32.75</v>
      </c>
      <c r="C268">
        <v>39.166670000000003</v>
      </c>
      <c r="D268">
        <v>19.166667</v>
      </c>
    </row>
    <row r="269" spans="1:6" x14ac:dyDescent="0.15">
      <c r="B269" s="859">
        <v>50.25</v>
      </c>
      <c r="C269">
        <v>35.5</v>
      </c>
      <c r="D269">
        <v>30.166667</v>
      </c>
    </row>
    <row r="270" spans="1:6" x14ac:dyDescent="0.15">
      <c r="B270" s="859">
        <v>21</v>
      </c>
      <c r="C270">
        <v>34.5</v>
      </c>
      <c r="D270">
        <v>31.33334</v>
      </c>
    </row>
    <row r="271" spans="1:6" x14ac:dyDescent="0.15">
      <c r="B271" s="859">
        <v>96.333340000000007</v>
      </c>
      <c r="C271">
        <v>62.5</v>
      </c>
      <c r="D271">
        <v>16.66667</v>
      </c>
      <c r="F271" s="859" t="s">
        <v>18</v>
      </c>
    </row>
    <row r="272" spans="1:6" x14ac:dyDescent="0.15">
      <c r="B272" s="859">
        <v>30</v>
      </c>
      <c r="C272">
        <v>14.166667</v>
      </c>
      <c r="D272">
        <v>29.833334000000001</v>
      </c>
      <c r="E272" s="859" t="s">
        <v>18</v>
      </c>
    </row>
    <row r="273" spans="1:6" x14ac:dyDescent="0.15">
      <c r="B273" s="859">
        <v>88.083333999999994</v>
      </c>
      <c r="C273">
        <v>39.166666999999997</v>
      </c>
      <c r="D273">
        <v>30</v>
      </c>
    </row>
    <row r="274" spans="1:6" x14ac:dyDescent="0.15">
      <c r="B274" s="859">
        <v>24.583334000000001</v>
      </c>
      <c r="C274">
        <v>22.083333400000001</v>
      </c>
      <c r="D274" s="7">
        <f>SUM(D266:D273)</f>
        <v>195.00004500000003</v>
      </c>
    </row>
    <row r="275" spans="1:6" x14ac:dyDescent="0.15">
      <c r="B275" s="859">
        <v>39.75</v>
      </c>
      <c r="C275">
        <v>46.083333400000001</v>
      </c>
    </row>
    <row r="276" spans="1:6" x14ac:dyDescent="0.15">
      <c r="B276" s="859">
        <v>15.333399999999999</v>
      </c>
      <c r="C276">
        <v>48.833334000000001</v>
      </c>
    </row>
    <row r="277" spans="1:6" x14ac:dyDescent="0.15">
      <c r="B277" s="859">
        <v>15.916667</v>
      </c>
      <c r="C277">
        <v>41.333399999999997</v>
      </c>
    </row>
    <row r="278" spans="1:6" x14ac:dyDescent="0.15">
      <c r="B278" s="859">
        <v>31.166667</v>
      </c>
      <c r="C278">
        <v>42.166670000000003</v>
      </c>
    </row>
    <row r="279" spans="1:6" x14ac:dyDescent="0.15">
      <c r="B279" s="859">
        <v>49.83334</v>
      </c>
      <c r="C279">
        <v>17.333400000000001</v>
      </c>
      <c r="D279" s="859" t="s">
        <v>18</v>
      </c>
    </row>
    <row r="280" spans="1:6" x14ac:dyDescent="0.15">
      <c r="B280" s="859">
        <v>21.5</v>
      </c>
      <c r="C280">
        <v>17.16667</v>
      </c>
    </row>
    <row r="281" spans="1:6" x14ac:dyDescent="0.15">
      <c r="B281" s="859">
        <v>13.666700000000001</v>
      </c>
      <c r="C281">
        <v>46.916666999999997</v>
      </c>
    </row>
    <row r="282" spans="1:6" x14ac:dyDescent="0.15">
      <c r="B282" s="859">
        <v>25.083334000000001</v>
      </c>
      <c r="C282">
        <v>26.4166667</v>
      </c>
    </row>
    <row r="283" spans="1:6" x14ac:dyDescent="0.15">
      <c r="B283" s="859">
        <v>24.083334000000001</v>
      </c>
      <c r="C283">
        <v>86.666700000000006</v>
      </c>
    </row>
    <row r="284" spans="1:6" x14ac:dyDescent="0.15">
      <c r="B284" s="859">
        <v>50.9166667</v>
      </c>
      <c r="C284" s="7">
        <f>SUM(C266:C283)</f>
        <v>796.00017849999983</v>
      </c>
    </row>
    <row r="285" spans="1:6" x14ac:dyDescent="0.15">
      <c r="B285" s="7">
        <f>SUM(B266:B284)</f>
        <v>797.83345069999984</v>
      </c>
    </row>
    <row r="287" spans="1:6" x14ac:dyDescent="0.15">
      <c r="A287" s="1" t="s">
        <v>408</v>
      </c>
      <c r="B287">
        <v>68</v>
      </c>
      <c r="C287">
        <v>56.25</v>
      </c>
      <c r="D287">
        <v>174.75</v>
      </c>
    </row>
    <row r="288" spans="1:6" x14ac:dyDescent="0.15">
      <c r="B288">
        <v>135</v>
      </c>
      <c r="C288">
        <v>43</v>
      </c>
      <c r="D288">
        <v>62.833334000000001</v>
      </c>
      <c r="F288" s="859" t="s">
        <v>18</v>
      </c>
    </row>
    <row r="289" spans="1:4" x14ac:dyDescent="0.15">
      <c r="B289">
        <v>105.6</v>
      </c>
      <c r="C289">
        <v>25.916667</v>
      </c>
      <c r="D289">
        <v>41.166666999999997</v>
      </c>
    </row>
    <row r="290" spans="1:4" x14ac:dyDescent="0.15">
      <c r="B290">
        <v>24</v>
      </c>
      <c r="C290">
        <v>121.0833334</v>
      </c>
      <c r="D290">
        <v>27.5</v>
      </c>
    </row>
    <row r="291" spans="1:4" x14ac:dyDescent="0.15">
      <c r="B291">
        <v>45.75</v>
      </c>
      <c r="C291" s="7">
        <f>SUM(C287:C290)</f>
        <v>246.2500004</v>
      </c>
      <c r="D291">
        <v>53.083333400000001</v>
      </c>
    </row>
    <row r="292" spans="1:4" x14ac:dyDescent="0.15">
      <c r="B292">
        <v>16.333400000000001</v>
      </c>
      <c r="D292">
        <v>44.833334000000001</v>
      </c>
    </row>
    <row r="293" spans="1:4" x14ac:dyDescent="0.15">
      <c r="B293">
        <v>21.25</v>
      </c>
      <c r="D293">
        <v>80.5</v>
      </c>
    </row>
    <row r="294" spans="1:4" x14ac:dyDescent="0.15">
      <c r="B294">
        <v>15.75</v>
      </c>
      <c r="D294" s="7">
        <f>SUM(D287:D293)</f>
        <v>484.66666839999999</v>
      </c>
    </row>
    <row r="295" spans="1:4" x14ac:dyDescent="0.15">
      <c r="B295">
        <v>39.916666999999997</v>
      </c>
    </row>
    <row r="296" spans="1:4" x14ac:dyDescent="0.15">
      <c r="B296">
        <v>22.583333400000001</v>
      </c>
    </row>
    <row r="297" spans="1:4" x14ac:dyDescent="0.15">
      <c r="B297">
        <v>16.916667</v>
      </c>
    </row>
    <row r="298" spans="1:4" x14ac:dyDescent="0.15">
      <c r="B298">
        <v>21</v>
      </c>
    </row>
    <row r="299" spans="1:4" x14ac:dyDescent="0.15">
      <c r="B299">
        <v>28</v>
      </c>
    </row>
    <row r="300" spans="1:4" x14ac:dyDescent="0.15">
      <c r="B300">
        <v>73.833333999999994</v>
      </c>
    </row>
    <row r="301" spans="1:4" x14ac:dyDescent="0.15">
      <c r="B301">
        <v>46.666699999999999</v>
      </c>
    </row>
    <row r="302" spans="1:4" x14ac:dyDescent="0.15">
      <c r="B302" s="7">
        <f>SUM(B287:B301)</f>
        <v>680.60010140000009</v>
      </c>
    </row>
    <row r="304" spans="1:4" x14ac:dyDescent="0.15">
      <c r="A304" s="1" t="s">
        <v>400</v>
      </c>
      <c r="B304">
        <v>32</v>
      </c>
      <c r="C304">
        <v>55.416666999999997</v>
      </c>
      <c r="D304">
        <v>44.416666999999997</v>
      </c>
    </row>
    <row r="305" spans="2:4" x14ac:dyDescent="0.15">
      <c r="B305">
        <v>18</v>
      </c>
      <c r="C305">
        <v>31</v>
      </c>
      <c r="D305">
        <v>52</v>
      </c>
    </row>
    <row r="306" spans="2:4" x14ac:dyDescent="0.15">
      <c r="B306">
        <v>43</v>
      </c>
      <c r="C306">
        <v>39</v>
      </c>
      <c r="D306">
        <v>27</v>
      </c>
    </row>
    <row r="307" spans="2:4" x14ac:dyDescent="0.15">
      <c r="B307">
        <v>28</v>
      </c>
      <c r="C307">
        <v>18</v>
      </c>
      <c r="D307">
        <v>25</v>
      </c>
    </row>
    <row r="308" spans="2:4" x14ac:dyDescent="0.15">
      <c r="B308">
        <v>31</v>
      </c>
      <c r="C308">
        <v>23</v>
      </c>
      <c r="D308">
        <v>20.333400000000001</v>
      </c>
    </row>
    <row r="309" spans="2:4" x14ac:dyDescent="0.15">
      <c r="B309">
        <v>155</v>
      </c>
      <c r="C309">
        <v>150</v>
      </c>
      <c r="D309">
        <v>30.5</v>
      </c>
    </row>
    <row r="310" spans="2:4" x14ac:dyDescent="0.15">
      <c r="B310">
        <v>23.833334000000001</v>
      </c>
      <c r="C310">
        <v>145</v>
      </c>
      <c r="D310">
        <v>55.75</v>
      </c>
    </row>
    <row r="311" spans="2:4" x14ac:dyDescent="0.15">
      <c r="B311">
        <v>24.25</v>
      </c>
      <c r="C311">
        <v>43</v>
      </c>
      <c r="D311">
        <v>48.25</v>
      </c>
    </row>
    <row r="312" spans="2:4" x14ac:dyDescent="0.15">
      <c r="B312">
        <v>50</v>
      </c>
      <c r="C312">
        <v>30.5</v>
      </c>
      <c r="D312">
        <v>19.166667</v>
      </c>
    </row>
    <row r="313" spans="2:4" x14ac:dyDescent="0.15">
      <c r="B313">
        <v>134.83333400000001</v>
      </c>
      <c r="C313">
        <v>73</v>
      </c>
      <c r="D313" s="7">
        <f>SUM(D304:D312)</f>
        <v>322.41673400000002</v>
      </c>
    </row>
    <row r="314" spans="2:4" x14ac:dyDescent="0.15">
      <c r="B314">
        <v>115</v>
      </c>
      <c r="C314">
        <v>60</v>
      </c>
    </row>
    <row r="315" spans="2:4" x14ac:dyDescent="0.15">
      <c r="B315">
        <v>18.833334000000001</v>
      </c>
      <c r="C315">
        <v>46.5</v>
      </c>
    </row>
    <row r="316" spans="2:4" x14ac:dyDescent="0.15">
      <c r="B316">
        <v>11.6</v>
      </c>
      <c r="C316">
        <v>56</v>
      </c>
    </row>
    <row r="317" spans="2:4" x14ac:dyDescent="0.15">
      <c r="B317">
        <v>40.75</v>
      </c>
      <c r="C317">
        <v>64.416666699999993</v>
      </c>
    </row>
    <row r="318" spans="2:4" x14ac:dyDescent="0.15">
      <c r="B318">
        <v>14.916667</v>
      </c>
      <c r="C318">
        <v>17.66667</v>
      </c>
    </row>
    <row r="319" spans="2:4" x14ac:dyDescent="0.15">
      <c r="B319">
        <v>181</v>
      </c>
      <c r="C319">
        <v>39</v>
      </c>
    </row>
    <row r="320" spans="2:4" x14ac:dyDescent="0.15">
      <c r="B320" s="7">
        <f>SUM(B304:B319)</f>
        <v>922.01666899999998</v>
      </c>
      <c r="C320">
        <v>42.25</v>
      </c>
    </row>
    <row r="321" spans="3:3" x14ac:dyDescent="0.15">
      <c r="C321">
        <v>51.5</v>
      </c>
    </row>
    <row r="322" spans="3:3" x14ac:dyDescent="0.15">
      <c r="C322">
        <v>34.833334000000001</v>
      </c>
    </row>
    <row r="323" spans="3:3" x14ac:dyDescent="0.15">
      <c r="C323">
        <v>81.333340000000007</v>
      </c>
    </row>
    <row r="324" spans="3:3" x14ac:dyDescent="0.15">
      <c r="C324">
        <v>50</v>
      </c>
    </row>
    <row r="325" spans="3:3" x14ac:dyDescent="0.15">
      <c r="C325">
        <v>22.16667</v>
      </c>
    </row>
    <row r="326" spans="3:3" x14ac:dyDescent="0.15">
      <c r="C326">
        <v>40.416666999999997</v>
      </c>
    </row>
    <row r="327" spans="3:3" x14ac:dyDescent="0.15">
      <c r="C327">
        <v>20</v>
      </c>
    </row>
    <row r="328" spans="3:3" x14ac:dyDescent="0.15">
      <c r="C328">
        <v>25.083333400000001</v>
      </c>
    </row>
    <row r="329" spans="3:3" x14ac:dyDescent="0.15">
      <c r="C329">
        <v>31</v>
      </c>
    </row>
    <row r="330" spans="3:3" x14ac:dyDescent="0.15">
      <c r="C330">
        <v>35.83334</v>
      </c>
    </row>
    <row r="331" spans="3:3" x14ac:dyDescent="0.15">
      <c r="C331">
        <v>70.75</v>
      </c>
    </row>
    <row r="332" spans="3:3" x14ac:dyDescent="0.15">
      <c r="C332">
        <v>62.583334000000001</v>
      </c>
    </row>
    <row r="333" spans="3:3" x14ac:dyDescent="0.15">
      <c r="C333">
        <v>42</v>
      </c>
    </row>
    <row r="334" spans="3:3" x14ac:dyDescent="0.15">
      <c r="C334">
        <v>30</v>
      </c>
    </row>
    <row r="335" spans="3:3" x14ac:dyDescent="0.15">
      <c r="C335">
        <v>17.58334</v>
      </c>
    </row>
    <row r="336" spans="3:3" x14ac:dyDescent="0.15">
      <c r="C336">
        <v>19</v>
      </c>
    </row>
    <row r="337" spans="3:3" x14ac:dyDescent="0.15">
      <c r="C337" s="7">
        <f>SUM(C304:C336)</f>
        <v>1567.8333620999995</v>
      </c>
    </row>
  </sheetData>
  <phoneticPr fontId="5" type="noConversion"/>
  <pageMargins left="0.75" right="0.75" top="1" bottom="1" header="0.5" footer="0.5"/>
  <pageSetup orientation="portrait" horizontalDpi="200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436"/>
  <sheetViews>
    <sheetView topLeftCell="A257" zoomScaleNormal="100" workbookViewId="0">
      <selection activeCell="O302" sqref="O302"/>
    </sheetView>
  </sheetViews>
  <sheetFormatPr baseColWidth="10" defaultColWidth="8.83203125" defaultRowHeight="13" x14ac:dyDescent="0.15"/>
  <cols>
    <col min="1" max="1" width="26.5" bestFit="1" customWidth="1"/>
    <col min="2" max="2" width="16.6640625" bestFit="1" customWidth="1"/>
    <col min="3" max="3" width="11.6640625" customWidth="1"/>
    <col min="4" max="4" width="9.33203125" bestFit="1" customWidth="1"/>
    <col min="5" max="5" width="11.83203125" bestFit="1" customWidth="1"/>
    <col min="6" max="6" width="8.5" customWidth="1"/>
    <col min="7" max="7" width="10.6640625" bestFit="1" customWidth="1"/>
    <col min="8" max="8" width="9.83203125" bestFit="1" customWidth="1"/>
    <col min="9" max="9" width="9.33203125" bestFit="1" customWidth="1"/>
    <col min="10" max="10" width="10.33203125" bestFit="1" customWidth="1"/>
    <col min="11" max="11" width="10.33203125" customWidth="1"/>
    <col min="12" max="12" width="9.33203125" bestFit="1" customWidth="1"/>
    <col min="13" max="13" width="9.5" bestFit="1" customWidth="1"/>
    <col min="14" max="17" width="9.33203125" bestFit="1" customWidth="1"/>
    <col min="18" max="23" width="12.5" bestFit="1" customWidth="1"/>
  </cols>
  <sheetData>
    <row r="1" spans="1:26" ht="16" x14ac:dyDescent="0.2">
      <c r="A1" s="528" t="s">
        <v>1</v>
      </c>
      <c r="B1" s="529"/>
      <c r="C1" s="529"/>
    </row>
    <row r="2" spans="1:26" x14ac:dyDescent="0.15">
      <c r="E2" s="305" t="s">
        <v>596</v>
      </c>
      <c r="F2" s="530" t="s">
        <v>690</v>
      </c>
      <c r="G2" s="530"/>
      <c r="H2" s="530" t="s">
        <v>692</v>
      </c>
      <c r="I2" s="530"/>
      <c r="J2" s="530"/>
      <c r="K2" s="530" t="s">
        <v>697</v>
      </c>
    </row>
    <row r="3" spans="1:26" x14ac:dyDescent="0.15">
      <c r="E3" s="305"/>
      <c r="F3" s="530" t="s">
        <v>691</v>
      </c>
      <c r="G3" s="530"/>
      <c r="H3" s="530" t="s">
        <v>693</v>
      </c>
      <c r="I3" s="530"/>
      <c r="J3" s="530"/>
    </row>
    <row r="4" spans="1:26" ht="14" thickBot="1" x14ac:dyDescent="0.2"/>
    <row r="5" spans="1:26" ht="14" thickBot="1" x14ac:dyDescent="0.2">
      <c r="A5" s="372"/>
      <c r="B5" s="257"/>
      <c r="C5" s="257"/>
      <c r="D5" s="257"/>
      <c r="E5" s="257"/>
      <c r="F5" s="257"/>
      <c r="G5" s="257" t="s">
        <v>18</v>
      </c>
      <c r="H5" s="257"/>
      <c r="I5" s="257" t="s">
        <v>18</v>
      </c>
      <c r="J5" s="257"/>
      <c r="K5" s="257"/>
      <c r="L5" s="257"/>
      <c r="M5" s="257" t="s">
        <v>18</v>
      </c>
      <c r="N5" s="257"/>
      <c r="O5" s="257"/>
      <c r="P5" s="257" t="s">
        <v>18</v>
      </c>
      <c r="Q5" s="257"/>
      <c r="R5" s="944"/>
      <c r="S5" s="944"/>
      <c r="T5" s="944"/>
      <c r="U5" s="944"/>
      <c r="V5" s="257"/>
      <c r="W5" s="257"/>
      <c r="X5" s="373"/>
    </row>
    <row r="6" spans="1:26" x14ac:dyDescent="0.15">
      <c r="A6" s="142" t="s">
        <v>12</v>
      </c>
      <c r="B6" s="107" t="s">
        <v>2</v>
      </c>
      <c r="C6" s="13" t="s">
        <v>18</v>
      </c>
      <c r="D6" s="13" t="s">
        <v>6</v>
      </c>
      <c r="E6" s="13"/>
      <c r="F6" s="13" t="s">
        <v>6</v>
      </c>
      <c r="G6" s="13" t="s">
        <v>18</v>
      </c>
      <c r="H6" s="13" t="s">
        <v>10</v>
      </c>
      <c r="I6" s="13"/>
      <c r="J6" s="13" t="s">
        <v>77</v>
      </c>
      <c r="K6" s="13" t="s">
        <v>78</v>
      </c>
      <c r="L6" s="13" t="s">
        <v>19</v>
      </c>
      <c r="M6" s="14"/>
      <c r="N6" s="62" t="s">
        <v>694</v>
      </c>
      <c r="O6" s="13" t="s">
        <v>24</v>
      </c>
      <c r="P6" s="13" t="s">
        <v>36</v>
      </c>
      <c r="Q6" s="13" t="s">
        <v>38</v>
      </c>
      <c r="R6" s="264" t="s">
        <v>696</v>
      </c>
      <c r="S6" s="484" t="s">
        <v>696</v>
      </c>
      <c r="T6" s="484" t="s">
        <v>696</v>
      </c>
      <c r="U6" s="485" t="s">
        <v>696</v>
      </c>
    </row>
    <row r="7" spans="1:26" ht="14" thickBot="1" x14ac:dyDescent="0.2">
      <c r="A7" s="66" t="s">
        <v>11</v>
      </c>
      <c r="B7" s="107" t="s">
        <v>3</v>
      </c>
      <c r="C7" s="13" t="s">
        <v>18</v>
      </c>
      <c r="D7" s="13" t="s">
        <v>4</v>
      </c>
      <c r="E7" s="13"/>
      <c r="F7" s="13" t="s">
        <v>4</v>
      </c>
      <c r="G7" s="13"/>
      <c r="H7" s="13" t="s">
        <v>9</v>
      </c>
      <c r="I7" s="13"/>
      <c r="J7" s="14"/>
      <c r="K7" s="13"/>
      <c r="L7" s="13" t="s">
        <v>21</v>
      </c>
      <c r="M7" s="13" t="s">
        <v>20</v>
      </c>
      <c r="N7" s="13" t="s">
        <v>695</v>
      </c>
      <c r="O7" s="13" t="s">
        <v>25</v>
      </c>
      <c r="P7" s="13" t="s">
        <v>37</v>
      </c>
      <c r="Q7" s="13" t="s">
        <v>40</v>
      </c>
      <c r="R7" s="465" t="s">
        <v>558</v>
      </c>
      <c r="S7" s="581" t="s">
        <v>558</v>
      </c>
      <c r="T7" s="581" t="s">
        <v>559</v>
      </c>
      <c r="U7" s="582" t="s">
        <v>559</v>
      </c>
    </row>
    <row r="8" spans="1:26" ht="14" thickBot="1" x14ac:dyDescent="0.2">
      <c r="A8" s="47"/>
      <c r="B8" s="89"/>
      <c r="C8" s="33"/>
      <c r="D8" s="33" t="s">
        <v>5</v>
      </c>
      <c r="E8" s="33"/>
      <c r="F8" s="33" t="s">
        <v>7</v>
      </c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89" t="s">
        <v>16</v>
      </c>
      <c r="S8" s="33" t="s">
        <v>17</v>
      </c>
      <c r="T8" s="33" t="s">
        <v>16</v>
      </c>
      <c r="U8" s="152" t="s">
        <v>17</v>
      </c>
      <c r="W8" s="2" t="s">
        <v>18</v>
      </c>
    </row>
    <row r="9" spans="1:26" ht="14" thickBot="1" x14ac:dyDescent="0.2">
      <c r="A9" s="42" t="s">
        <v>13</v>
      </c>
      <c r="B9" s="43" t="s">
        <v>316</v>
      </c>
      <c r="C9" s="43" t="s">
        <v>317</v>
      </c>
      <c r="D9" s="43" t="s">
        <v>316</v>
      </c>
      <c r="E9" s="43" t="s">
        <v>317</v>
      </c>
      <c r="F9" s="43" t="s">
        <v>316</v>
      </c>
      <c r="G9" s="43" t="s">
        <v>317</v>
      </c>
      <c r="H9" s="43" t="s">
        <v>16</v>
      </c>
      <c r="I9" s="43" t="s">
        <v>17</v>
      </c>
      <c r="J9" s="43" t="s">
        <v>79</v>
      </c>
      <c r="K9" s="43" t="s">
        <v>80</v>
      </c>
      <c r="L9" s="44"/>
      <c r="M9" s="44"/>
      <c r="N9" s="44"/>
      <c r="O9" s="44"/>
      <c r="P9" s="44"/>
      <c r="Q9" s="45"/>
      <c r="R9" s="86"/>
      <c r="S9" s="44"/>
      <c r="T9" s="44"/>
      <c r="U9" s="45"/>
      <c r="W9" t="s">
        <v>18</v>
      </c>
    </row>
    <row r="10" spans="1:26" x14ac:dyDescent="0.15">
      <c r="A10" s="145" t="s">
        <v>14</v>
      </c>
      <c r="B10" s="208">
        <v>2739.7078752506159</v>
      </c>
      <c r="C10" s="78">
        <v>835.06296037638776</v>
      </c>
      <c r="D10" s="78">
        <v>136.21932886091</v>
      </c>
      <c r="E10" s="78">
        <v>41.519651436805368</v>
      </c>
      <c r="F10" s="78">
        <v>10.5625</v>
      </c>
      <c r="G10" s="78">
        <f>+F10*0.3048</f>
        <v>3.2194500000000001</v>
      </c>
      <c r="H10" s="78">
        <v>234.83</v>
      </c>
      <c r="I10" s="78">
        <f>+H10*0.3048</f>
        <v>71.576184000000012</v>
      </c>
      <c r="J10" s="50"/>
      <c r="K10" s="78" t="s">
        <v>81</v>
      </c>
      <c r="L10" s="209">
        <v>8</v>
      </c>
      <c r="M10" s="209">
        <v>0</v>
      </c>
      <c r="N10" s="50" t="s">
        <v>22</v>
      </c>
      <c r="O10" s="50" t="s">
        <v>18</v>
      </c>
      <c r="P10" s="50"/>
      <c r="Q10" s="83">
        <v>1</v>
      </c>
      <c r="R10" s="87" t="s">
        <v>18</v>
      </c>
      <c r="S10" s="50" t="s">
        <v>18</v>
      </c>
      <c r="T10" s="50" t="s">
        <v>313</v>
      </c>
      <c r="U10" s="83"/>
    </row>
    <row r="11" spans="1:26" x14ac:dyDescent="0.15">
      <c r="A11" s="143" t="s">
        <v>15</v>
      </c>
      <c r="B11" s="80"/>
      <c r="C11" s="14"/>
      <c r="D11" s="14"/>
      <c r="E11" s="14"/>
      <c r="F11" s="14"/>
      <c r="G11" s="14"/>
      <c r="H11" s="14"/>
      <c r="I11" s="14"/>
      <c r="J11" s="14"/>
      <c r="K11" s="14"/>
      <c r="L11" s="39">
        <v>0</v>
      </c>
      <c r="M11" s="39">
        <v>0</v>
      </c>
      <c r="N11" s="14" t="s">
        <v>23</v>
      </c>
      <c r="O11" s="14"/>
      <c r="P11" s="14">
        <v>1</v>
      </c>
      <c r="Q11" s="210" t="s">
        <v>18</v>
      </c>
      <c r="R11" s="566">
        <v>281.3</v>
      </c>
      <c r="S11" s="38">
        <f>+R11*0.3048</f>
        <v>85.740240000000014</v>
      </c>
      <c r="T11" s="25">
        <v>232.4</v>
      </c>
      <c r="U11" s="172">
        <f>+T11*0.3048</f>
        <v>70.835520000000002</v>
      </c>
      <c r="W11" s="2"/>
    </row>
    <row r="12" spans="1:26" x14ac:dyDescent="0.15">
      <c r="A12" s="143" t="s">
        <v>41</v>
      </c>
      <c r="B12" s="211">
        <v>743.77496172981614</v>
      </c>
      <c r="C12" s="38">
        <v>226.70260833524796</v>
      </c>
      <c r="D12" s="38">
        <v>35.806751244599994</v>
      </c>
      <c r="E12" s="38">
        <v>10.913897779354079</v>
      </c>
      <c r="F12" s="38">
        <v>0</v>
      </c>
      <c r="G12" s="38">
        <v>0</v>
      </c>
      <c r="H12" s="38">
        <v>199.16701</v>
      </c>
      <c r="I12" s="38">
        <v>60.706104648000007</v>
      </c>
      <c r="J12" s="14"/>
      <c r="K12" s="38" t="s">
        <v>81</v>
      </c>
      <c r="L12" s="39">
        <v>1</v>
      </c>
      <c r="M12" s="39">
        <v>2</v>
      </c>
      <c r="N12" s="14" t="s">
        <v>22</v>
      </c>
      <c r="O12" s="14">
        <v>1</v>
      </c>
      <c r="P12" s="14">
        <v>1</v>
      </c>
      <c r="Q12" s="136">
        <v>1</v>
      </c>
      <c r="R12" s="566" t="s">
        <v>18</v>
      </c>
      <c r="S12" s="38"/>
      <c r="T12" s="25" t="s">
        <v>18</v>
      </c>
      <c r="U12" s="567"/>
    </row>
    <row r="13" spans="1:26" x14ac:dyDescent="0.15">
      <c r="A13" s="143" t="s">
        <v>211</v>
      </c>
      <c r="B13" s="80"/>
      <c r="C13" s="14"/>
      <c r="D13" s="14"/>
      <c r="E13" s="14"/>
      <c r="F13" s="14"/>
      <c r="G13" s="14"/>
      <c r="H13" s="14"/>
      <c r="I13" s="14"/>
      <c r="J13" s="14"/>
      <c r="K13" s="14"/>
      <c r="L13" s="39">
        <v>2</v>
      </c>
      <c r="M13" s="39">
        <v>5</v>
      </c>
      <c r="N13" s="14" t="s">
        <v>23</v>
      </c>
      <c r="O13" s="14"/>
      <c r="P13" s="14" t="s">
        <v>18</v>
      </c>
      <c r="Q13" s="136" t="s">
        <v>18</v>
      </c>
      <c r="R13" s="211">
        <v>364.6</v>
      </c>
      <c r="S13" s="38">
        <f>+R13*0.3048</f>
        <v>111.13008000000001</v>
      </c>
      <c r="T13" s="38">
        <v>192</v>
      </c>
      <c r="U13" s="172">
        <f>+T13*0.3048</f>
        <v>58.521600000000007</v>
      </c>
    </row>
    <row r="14" spans="1:26" x14ac:dyDescent="0.15">
      <c r="A14" s="143" t="s">
        <v>54</v>
      </c>
      <c r="B14" s="211">
        <v>3764.2526616642708</v>
      </c>
      <c r="C14" s="38">
        <v>1147.3442112752698</v>
      </c>
      <c r="D14" s="38">
        <v>72.390495000000001</v>
      </c>
      <c r="E14" s="38">
        <v>22.064622876000001</v>
      </c>
      <c r="F14" s="14"/>
      <c r="G14" s="14"/>
      <c r="H14" s="38">
        <v>306.16660000000002</v>
      </c>
      <c r="I14" s="38">
        <v>93.319579680000018</v>
      </c>
      <c r="J14" s="14"/>
      <c r="K14" s="38" t="s">
        <v>81</v>
      </c>
      <c r="L14" s="39">
        <v>4</v>
      </c>
      <c r="M14" s="39">
        <v>3</v>
      </c>
      <c r="N14" s="14" t="s">
        <v>22</v>
      </c>
      <c r="O14" s="14"/>
      <c r="P14" s="14"/>
      <c r="Q14" s="136"/>
      <c r="R14" s="211"/>
      <c r="S14" s="38"/>
      <c r="T14" s="38"/>
      <c r="U14" s="172"/>
      <c r="W14" s="2" t="s">
        <v>18</v>
      </c>
      <c r="Y14" s="2" t="s">
        <v>18</v>
      </c>
      <c r="Z14" t="s">
        <v>18</v>
      </c>
    </row>
    <row r="15" spans="1:26" x14ac:dyDescent="0.15">
      <c r="A15" s="143" t="s">
        <v>55</v>
      </c>
      <c r="B15" s="80"/>
      <c r="C15" s="14"/>
      <c r="D15" s="14" t="s">
        <v>18</v>
      </c>
      <c r="E15" s="14"/>
      <c r="F15" s="14" t="s">
        <v>18</v>
      </c>
      <c r="G15" s="14"/>
      <c r="H15" s="14"/>
      <c r="I15" s="14"/>
      <c r="J15" s="14"/>
      <c r="K15" s="14"/>
      <c r="L15" s="39">
        <v>3</v>
      </c>
      <c r="M15" s="39">
        <v>0</v>
      </c>
      <c r="N15" s="14" t="s">
        <v>23</v>
      </c>
      <c r="O15" s="14">
        <v>1</v>
      </c>
      <c r="P15" s="14">
        <v>1</v>
      </c>
      <c r="Q15" s="136"/>
      <c r="R15" s="211">
        <v>352</v>
      </c>
      <c r="S15" s="38">
        <f>+R15*0.3048</f>
        <v>107.28960000000001</v>
      </c>
      <c r="T15" s="113">
        <v>296.10000000000002</v>
      </c>
      <c r="U15" s="172">
        <f>+T15*0.3048</f>
        <v>90.251280000000008</v>
      </c>
      <c r="Y15" t="s">
        <v>18</v>
      </c>
    </row>
    <row r="16" spans="1:26" x14ac:dyDescent="0.15">
      <c r="A16" s="143" t="s">
        <v>59</v>
      </c>
      <c r="B16" s="211">
        <v>462.15162685403999</v>
      </c>
      <c r="C16" s="38">
        <v>140.86381586511141</v>
      </c>
      <c r="D16" s="212">
        <v>43.306249999999999</v>
      </c>
      <c r="E16" s="135">
        <v>13.199745</v>
      </c>
      <c r="F16" s="38">
        <v>52.731250000000003</v>
      </c>
      <c r="G16" s="38">
        <v>16.072485</v>
      </c>
      <c r="H16" s="38">
        <v>345.92</v>
      </c>
      <c r="I16" s="38">
        <v>105.43641599999999</v>
      </c>
      <c r="J16" s="14" t="s">
        <v>81</v>
      </c>
      <c r="K16" s="14"/>
      <c r="L16" s="39">
        <v>2</v>
      </c>
      <c r="M16" s="39">
        <v>4</v>
      </c>
      <c r="N16" s="14" t="s">
        <v>22</v>
      </c>
      <c r="O16" s="14"/>
      <c r="P16" s="14">
        <v>1</v>
      </c>
      <c r="Q16" s="136"/>
      <c r="R16" s="211" t="s">
        <v>18</v>
      </c>
      <c r="S16" s="38"/>
      <c r="T16" s="38"/>
      <c r="U16" s="567"/>
      <c r="W16" t="s">
        <v>18</v>
      </c>
    </row>
    <row r="17" spans="1:25" x14ac:dyDescent="0.15">
      <c r="A17" s="143" t="s">
        <v>60</v>
      </c>
      <c r="B17" s="80"/>
      <c r="C17" s="14"/>
      <c r="D17" s="14"/>
      <c r="E17" s="14"/>
      <c r="F17" s="14"/>
      <c r="G17" s="14"/>
      <c r="H17" s="38" t="s">
        <v>18</v>
      </c>
      <c r="I17" s="38"/>
      <c r="J17" s="14"/>
      <c r="K17" s="14"/>
      <c r="L17" s="39">
        <v>4</v>
      </c>
      <c r="M17" s="39">
        <v>2</v>
      </c>
      <c r="N17" s="14" t="s">
        <v>23</v>
      </c>
      <c r="O17" s="14"/>
      <c r="P17" s="14">
        <v>1</v>
      </c>
      <c r="Q17" s="136"/>
      <c r="R17" s="211">
        <v>255.9</v>
      </c>
      <c r="S17" s="38">
        <f>+R17*0.3048</f>
        <v>77.998320000000007</v>
      </c>
      <c r="T17" s="25">
        <v>381.6</v>
      </c>
      <c r="U17" s="172">
        <f>+T17*0.3048</f>
        <v>116.31168000000001</v>
      </c>
      <c r="V17" t="s">
        <v>18</v>
      </c>
      <c r="W17" s="2" t="s">
        <v>18</v>
      </c>
    </row>
    <row r="18" spans="1:25" x14ac:dyDescent="0.15">
      <c r="A18" s="143" t="s">
        <v>61</v>
      </c>
      <c r="B18" s="211">
        <v>1721.1190361359274</v>
      </c>
      <c r="C18" s="38">
        <v>524.59708221423068</v>
      </c>
      <c r="D18" s="212">
        <v>97.174999999999997</v>
      </c>
      <c r="E18" s="135">
        <v>29.618940000000002</v>
      </c>
      <c r="F18" s="14"/>
      <c r="G18" s="64" t="s">
        <v>18</v>
      </c>
      <c r="H18" s="38">
        <v>286.14</v>
      </c>
      <c r="I18" s="38">
        <v>87.215472000000005</v>
      </c>
      <c r="J18" s="14"/>
      <c r="K18" s="14" t="s">
        <v>81</v>
      </c>
      <c r="L18" s="39">
        <v>4</v>
      </c>
      <c r="M18" s="39">
        <v>0</v>
      </c>
      <c r="N18" s="14" t="s">
        <v>22</v>
      </c>
      <c r="O18" s="14"/>
      <c r="P18" s="14"/>
      <c r="Q18" s="136" t="s">
        <v>18</v>
      </c>
      <c r="R18" s="211"/>
      <c r="S18" s="38"/>
      <c r="T18" s="38"/>
      <c r="U18" s="567"/>
    </row>
    <row r="19" spans="1:25" x14ac:dyDescent="0.15">
      <c r="A19" s="143" t="s">
        <v>15</v>
      </c>
      <c r="B19" s="80"/>
      <c r="C19" s="14"/>
      <c r="D19" s="14" t="s">
        <v>18</v>
      </c>
      <c r="E19" s="14"/>
      <c r="F19" s="14"/>
      <c r="G19" s="14"/>
      <c r="H19" s="14"/>
      <c r="I19" s="14"/>
      <c r="J19" s="14"/>
      <c r="K19" s="14"/>
      <c r="L19" s="39">
        <v>2</v>
      </c>
      <c r="M19" s="39">
        <v>1</v>
      </c>
      <c r="N19" s="14" t="s">
        <v>23</v>
      </c>
      <c r="O19" s="14"/>
      <c r="P19" s="14"/>
      <c r="Q19" s="136"/>
      <c r="R19" s="211">
        <v>102.3</v>
      </c>
      <c r="S19" s="38">
        <f>+R19*0.3048</f>
        <v>31.181039999999999</v>
      </c>
      <c r="T19" s="38">
        <v>242.5</v>
      </c>
      <c r="U19" s="172">
        <f>+T19*0.3048</f>
        <v>73.914000000000001</v>
      </c>
    </row>
    <row r="20" spans="1:25" ht="14" thickBot="1" x14ac:dyDescent="0.2">
      <c r="A20" s="47" t="s">
        <v>62</v>
      </c>
      <c r="B20" s="82"/>
      <c r="C20" s="34"/>
      <c r="D20" s="34" t="s">
        <v>18</v>
      </c>
      <c r="E20" s="34" t="s">
        <v>18</v>
      </c>
      <c r="F20" s="213">
        <v>5740.2</v>
      </c>
      <c r="G20" s="213">
        <v>1749.6129599999999</v>
      </c>
      <c r="H20" s="34" t="s">
        <v>18</v>
      </c>
      <c r="I20" s="34" t="s">
        <v>18</v>
      </c>
      <c r="J20" s="34" t="s">
        <v>18</v>
      </c>
      <c r="K20" s="34"/>
      <c r="L20" s="196" t="s">
        <v>18</v>
      </c>
      <c r="M20" s="34"/>
      <c r="N20" s="34"/>
      <c r="O20" s="34"/>
      <c r="P20" s="34"/>
      <c r="Q20" s="35"/>
      <c r="R20" s="211"/>
      <c r="S20" s="38"/>
      <c r="T20" s="38" t="s">
        <v>18</v>
      </c>
      <c r="U20" s="567"/>
    </row>
    <row r="21" spans="1:25" ht="14" thickBot="1" x14ac:dyDescent="0.2">
      <c r="A21" s="48" t="s">
        <v>68</v>
      </c>
      <c r="B21" s="570">
        <f>SUM(B10:B20)</f>
        <v>9431.0061616346702</v>
      </c>
      <c r="C21" s="570">
        <f t="shared" ref="C21:I21" si="0">SUM(C10:C20)</f>
        <v>2874.5706780662481</v>
      </c>
      <c r="D21" s="570">
        <f t="shared" si="0"/>
        <v>384.89782510550998</v>
      </c>
      <c r="E21" s="570">
        <f t="shared" si="0"/>
        <v>117.31685709215947</v>
      </c>
      <c r="F21" s="570">
        <f t="shared" si="0"/>
        <v>5803.4937499999996</v>
      </c>
      <c r="G21" s="570">
        <f t="shared" si="0"/>
        <v>1768.9048949999999</v>
      </c>
      <c r="H21" s="570">
        <f t="shared" si="0"/>
        <v>1372.22361</v>
      </c>
      <c r="I21" s="570">
        <f t="shared" si="0"/>
        <v>418.25375632800001</v>
      </c>
      <c r="J21" s="571"/>
      <c r="K21" s="571"/>
      <c r="L21" s="572">
        <f>SUM(L10:L19)</f>
        <v>30</v>
      </c>
      <c r="M21" s="572">
        <f>SUM(M10:M19)</f>
        <v>17</v>
      </c>
      <c r="N21" s="571"/>
      <c r="O21" s="572">
        <f>SUM(O10:O19)</f>
        <v>2</v>
      </c>
      <c r="P21" s="572">
        <f>SUM(P10:P19)</f>
        <v>5</v>
      </c>
      <c r="Q21" s="573">
        <f>SUM(Q10:Q19)</f>
        <v>2</v>
      </c>
      <c r="R21" s="574">
        <f>SUM(R11:R20)</f>
        <v>1356.1000000000001</v>
      </c>
      <c r="S21" s="575">
        <f>SUM(S11:S20)</f>
        <v>413.33928000000009</v>
      </c>
      <c r="T21" s="575">
        <f>SUM(T11:T20)</f>
        <v>1344.6</v>
      </c>
      <c r="U21" s="576">
        <f>SUM(U11:U20)</f>
        <v>409.83408000000003</v>
      </c>
    </row>
    <row r="22" spans="1:25" ht="14" thickBot="1" x14ac:dyDescent="0.2">
      <c r="A22" s="42" t="s">
        <v>286</v>
      </c>
      <c r="B22" s="103"/>
      <c r="C22" s="103"/>
      <c r="D22" s="103"/>
      <c r="E22" s="103"/>
      <c r="F22" s="569">
        <f>+D21+F21</f>
        <v>6188.3915751055092</v>
      </c>
      <c r="G22" s="569">
        <f>+E21+G21</f>
        <v>1886.2217520921595</v>
      </c>
      <c r="H22" s="103" t="s">
        <v>18</v>
      </c>
      <c r="I22" s="103"/>
      <c r="J22" s="99"/>
      <c r="K22" s="99"/>
      <c r="L22" s="285"/>
      <c r="M22" s="285"/>
      <c r="N22" s="99"/>
      <c r="O22" s="285"/>
      <c r="P22" s="285"/>
      <c r="Q22" s="286"/>
      <c r="R22" s="568"/>
      <c r="S22" s="174"/>
      <c r="T22" s="174"/>
      <c r="U22" s="198"/>
    </row>
    <row r="23" spans="1:25" ht="14" thickBot="1" x14ac:dyDescent="0.2">
      <c r="A23" s="14"/>
      <c r="B23" s="14"/>
      <c r="D23" t="s">
        <v>18</v>
      </c>
      <c r="E23" t="s">
        <v>18</v>
      </c>
      <c r="F23" t="s">
        <v>18</v>
      </c>
      <c r="G23" t="s">
        <v>18</v>
      </c>
      <c r="H23" t="s">
        <v>18</v>
      </c>
      <c r="J23" t="s">
        <v>18</v>
      </c>
      <c r="K23" t="s">
        <v>18</v>
      </c>
      <c r="T23" s="2" t="s">
        <v>18</v>
      </c>
    </row>
    <row r="24" spans="1:25" ht="14" thickBot="1" x14ac:dyDescent="0.2">
      <c r="A24" s="57"/>
      <c r="B24" s="48" t="s">
        <v>49</v>
      </c>
      <c r="C24" s="32"/>
      <c r="D24" s="32"/>
      <c r="E24" s="32" t="s">
        <v>18</v>
      </c>
      <c r="F24" s="32"/>
      <c r="G24" s="32"/>
      <c r="H24" s="32" t="s">
        <v>50</v>
      </c>
      <c r="I24" s="32"/>
      <c r="J24" s="32"/>
      <c r="K24" s="32"/>
      <c r="L24" s="32"/>
      <c r="M24" s="32"/>
      <c r="N24" s="32"/>
      <c r="O24" s="32" t="s">
        <v>57</v>
      </c>
      <c r="P24" s="32" t="s">
        <v>51</v>
      </c>
      <c r="Q24" s="32"/>
      <c r="R24" s="50"/>
      <c r="S24" s="50"/>
      <c r="T24" s="50"/>
      <c r="U24" s="32" t="s">
        <v>8</v>
      </c>
      <c r="V24" s="50"/>
      <c r="W24" s="32" t="s">
        <v>330</v>
      </c>
      <c r="X24" s="83"/>
    </row>
    <row r="25" spans="1:25" ht="14" thickBot="1" x14ac:dyDescent="0.2">
      <c r="A25" s="95"/>
      <c r="B25" s="42"/>
      <c r="C25" s="96"/>
      <c r="D25" s="96"/>
      <c r="E25" s="96"/>
      <c r="F25" s="96"/>
      <c r="G25" s="96" t="s">
        <v>18</v>
      </c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44"/>
      <c r="S25" s="44"/>
      <c r="T25" s="44"/>
      <c r="U25" s="96"/>
      <c r="V25" s="44"/>
      <c r="W25" s="44"/>
      <c r="X25" s="45"/>
    </row>
    <row r="26" spans="1:25" ht="16" thickBot="1" x14ac:dyDescent="0.2">
      <c r="A26" s="46" t="s">
        <v>699</v>
      </c>
      <c r="B26" s="599" t="s">
        <v>26</v>
      </c>
      <c r="C26" s="468" t="s">
        <v>27</v>
      </c>
      <c r="D26" s="96" t="s">
        <v>32</v>
      </c>
      <c r="E26" s="468" t="s">
        <v>698</v>
      </c>
      <c r="G26" s="468" t="s">
        <v>311</v>
      </c>
      <c r="H26" s="468" t="s">
        <v>29</v>
      </c>
      <c r="I26" s="468" t="s">
        <v>30</v>
      </c>
      <c r="J26" s="468" t="s">
        <v>31</v>
      </c>
      <c r="K26" s="468" t="s">
        <v>31</v>
      </c>
      <c r="L26" s="468" t="s">
        <v>32</v>
      </c>
      <c r="M26" s="468" t="s">
        <v>31</v>
      </c>
      <c r="N26" s="468" t="s">
        <v>31</v>
      </c>
      <c r="O26" s="468" t="s">
        <v>28</v>
      </c>
      <c r="P26" s="468" t="s">
        <v>29</v>
      </c>
      <c r="Q26" s="468" t="s">
        <v>30</v>
      </c>
      <c r="R26" s="468" t="s">
        <v>32</v>
      </c>
      <c r="S26" s="468" t="s">
        <v>31</v>
      </c>
      <c r="T26" s="468" t="s">
        <v>31</v>
      </c>
      <c r="U26" s="34"/>
      <c r="V26" s="34"/>
      <c r="W26" s="34"/>
      <c r="X26" s="35"/>
    </row>
    <row r="27" spans="1:25" ht="14" thickBot="1" x14ac:dyDescent="0.2">
      <c r="A27" s="66" t="s">
        <v>11</v>
      </c>
      <c r="B27" s="86"/>
      <c r="C27" s="44"/>
      <c r="D27" s="96" t="s">
        <v>33</v>
      </c>
      <c r="E27" s="44">
        <v>3.1415899999999999</v>
      </c>
      <c r="F27" s="44"/>
      <c r="G27" s="44"/>
      <c r="H27" s="343"/>
      <c r="I27" s="343"/>
      <c r="J27" s="44"/>
      <c r="K27" s="44"/>
      <c r="L27" s="468" t="s">
        <v>33</v>
      </c>
      <c r="M27" s="44"/>
      <c r="N27" s="44"/>
      <c r="O27" s="44"/>
      <c r="P27" s="343"/>
      <c r="Q27" s="343"/>
      <c r="R27" s="468" t="s">
        <v>33</v>
      </c>
      <c r="S27" s="44"/>
      <c r="T27" s="44"/>
      <c r="U27" s="44"/>
      <c r="V27" s="44"/>
      <c r="W27" s="44"/>
      <c r="X27" s="45"/>
    </row>
    <row r="28" spans="1:25" ht="14" thickBot="1" x14ac:dyDescent="0.2">
      <c r="A28" s="214" t="s">
        <v>34</v>
      </c>
      <c r="B28" s="86"/>
      <c r="C28" s="44"/>
      <c r="D28" s="44"/>
      <c r="E28" s="468" t="s">
        <v>16</v>
      </c>
      <c r="F28" s="468" t="s">
        <v>17</v>
      </c>
      <c r="G28" s="44"/>
      <c r="H28" s="44"/>
      <c r="I28" s="44"/>
      <c r="J28" s="468" t="s">
        <v>16</v>
      </c>
      <c r="K28" s="468" t="s">
        <v>17</v>
      </c>
      <c r="L28" s="44"/>
      <c r="M28" s="468" t="s">
        <v>16</v>
      </c>
      <c r="N28" s="468" t="s">
        <v>17</v>
      </c>
      <c r="O28" s="44"/>
      <c r="P28" s="44"/>
      <c r="Q28" s="44"/>
      <c r="R28" s="44"/>
      <c r="S28" s="468" t="s">
        <v>16</v>
      </c>
      <c r="T28" s="468" t="s">
        <v>17</v>
      </c>
      <c r="U28" s="468" t="s">
        <v>16</v>
      </c>
      <c r="V28" s="468" t="s">
        <v>17</v>
      </c>
      <c r="W28" s="468" t="s">
        <v>16</v>
      </c>
      <c r="X28" s="470" t="s">
        <v>17</v>
      </c>
      <c r="Y28" s="14"/>
    </row>
    <row r="29" spans="1:25" x14ac:dyDescent="0.15">
      <c r="A29" s="94">
        <v>3</v>
      </c>
      <c r="B29" s="38">
        <v>5.5833300000000001</v>
      </c>
      <c r="C29" s="3">
        <f t="shared" ref="C29:C35" si="1">+B29*B29</f>
        <v>31.173573888900002</v>
      </c>
      <c r="D29" s="3">
        <v>1</v>
      </c>
      <c r="E29" s="3">
        <f t="shared" ref="E29:E35" si="2">+C29*3.14159*A29*D29</f>
        <v>293.80376398088805</v>
      </c>
      <c r="F29" s="3">
        <f t="shared" ref="F29:F35" si="3">+E29*0.3048</f>
        <v>89.551387261374686</v>
      </c>
      <c r="G29" s="3">
        <v>5</v>
      </c>
      <c r="H29" s="3">
        <v>3.25</v>
      </c>
      <c r="I29" s="3">
        <v>3.25</v>
      </c>
      <c r="J29" s="3">
        <f>+G29*H29*I29</f>
        <v>52.8125</v>
      </c>
      <c r="K29" s="3">
        <f>+J29*0.3048</f>
        <v>16.097250000000003</v>
      </c>
      <c r="L29" s="3">
        <v>0.7</v>
      </c>
      <c r="M29" s="3">
        <f>+G29*H29*I29*L29</f>
        <v>36.96875</v>
      </c>
      <c r="N29" s="3">
        <f>+M29*0.3048</f>
        <v>11.268075000000001</v>
      </c>
      <c r="O29" s="3">
        <v>1</v>
      </c>
      <c r="P29" s="3">
        <v>3.25</v>
      </c>
      <c r="Q29" s="3">
        <v>3.25</v>
      </c>
      <c r="R29" s="3">
        <v>1</v>
      </c>
      <c r="S29" s="3">
        <f>+O29*P29*Q29*R29</f>
        <v>10.5625</v>
      </c>
      <c r="T29" s="3">
        <f>+S29*0.3048</f>
        <v>3.2194500000000001</v>
      </c>
      <c r="U29" s="3">
        <v>234.833</v>
      </c>
      <c r="V29" s="3">
        <f>+U29*0.3048</f>
        <v>71.577098399999997</v>
      </c>
      <c r="W29" s="38"/>
      <c r="X29" s="38"/>
      <c r="Y29" s="41"/>
    </row>
    <row r="30" spans="1:25" x14ac:dyDescent="0.15">
      <c r="A30" s="94">
        <v>6</v>
      </c>
      <c r="B30" s="38">
        <v>8.8333300000000001</v>
      </c>
      <c r="C30" s="3">
        <f t="shared" si="1"/>
        <v>78.027718888899997</v>
      </c>
      <c r="D30" s="3">
        <v>1</v>
      </c>
      <c r="E30" s="3">
        <f t="shared" si="2"/>
        <v>1470.786608305076</v>
      </c>
      <c r="F30" s="3">
        <f t="shared" si="3"/>
        <v>448.29575821138718</v>
      </c>
      <c r="G30" s="3">
        <v>1</v>
      </c>
      <c r="H30" s="3">
        <v>3.25</v>
      </c>
      <c r="I30" s="3">
        <v>3.25</v>
      </c>
      <c r="J30" s="3">
        <f t="shared" ref="J30:J36" si="4">+G30*H30*I30</f>
        <v>10.5625</v>
      </c>
      <c r="K30" s="3">
        <f t="shared" ref="K30:K36" si="5">+J30*0.3048</f>
        <v>3.2194500000000001</v>
      </c>
      <c r="L30" s="3">
        <v>0.95</v>
      </c>
      <c r="M30" s="3">
        <f t="shared" ref="M30:M36" si="6">+G30*H30*I30*L30</f>
        <v>10.034374999999999</v>
      </c>
      <c r="N30" s="3">
        <f t="shared" ref="N30:N42" si="7">+M30*0.3048</f>
        <v>3.0584775</v>
      </c>
      <c r="O30" s="3"/>
      <c r="P30" s="3"/>
      <c r="Q30" s="3"/>
      <c r="R30" s="3"/>
      <c r="S30" s="3"/>
      <c r="T30" s="3"/>
      <c r="U30" s="3"/>
      <c r="V30" s="3"/>
      <c r="W30" s="38"/>
      <c r="X30" s="38"/>
      <c r="Y30" s="41"/>
    </row>
    <row r="31" spans="1:25" x14ac:dyDescent="0.15">
      <c r="A31" s="94">
        <v>1</v>
      </c>
      <c r="B31" s="38">
        <v>1.5</v>
      </c>
      <c r="C31" s="3">
        <f t="shared" si="1"/>
        <v>2.25</v>
      </c>
      <c r="D31" s="3">
        <v>1</v>
      </c>
      <c r="E31" s="3">
        <f t="shared" si="2"/>
        <v>7.0685775</v>
      </c>
      <c r="F31" s="3">
        <f t="shared" si="3"/>
        <v>2.1545024220000002</v>
      </c>
      <c r="G31" s="3">
        <v>3</v>
      </c>
      <c r="H31" s="3">
        <v>1.9167000000000001</v>
      </c>
      <c r="I31" s="3">
        <v>1.667</v>
      </c>
      <c r="J31" s="3">
        <f t="shared" si="4"/>
        <v>9.5854166999999997</v>
      </c>
      <c r="K31" s="3">
        <f t="shared" si="5"/>
        <v>2.9216350101600002</v>
      </c>
      <c r="L31" s="3">
        <v>0.8</v>
      </c>
      <c r="M31" s="3">
        <f t="shared" si="6"/>
        <v>7.6683333600000001</v>
      </c>
      <c r="N31" s="3">
        <f t="shared" si="7"/>
        <v>2.3373080081280002</v>
      </c>
      <c r="O31" s="3"/>
      <c r="P31" s="3"/>
      <c r="Q31" s="3"/>
      <c r="R31" s="3"/>
      <c r="S31" s="3"/>
      <c r="T31" s="3" t="s">
        <v>18</v>
      </c>
      <c r="U31" s="3"/>
      <c r="V31" s="3"/>
      <c r="W31" s="38"/>
      <c r="X31" s="38"/>
      <c r="Y31" s="41"/>
    </row>
    <row r="32" spans="1:25" x14ac:dyDescent="0.15">
      <c r="A32" s="216">
        <v>4</v>
      </c>
      <c r="B32" s="38">
        <f>8.83333*D32</f>
        <v>5.2999979999999995</v>
      </c>
      <c r="C32" s="3">
        <f t="shared" si="1"/>
        <v>28.089978800003994</v>
      </c>
      <c r="D32" s="3">
        <v>0.6</v>
      </c>
      <c r="E32" s="3">
        <f t="shared" si="2"/>
        <v>211.79327159593092</v>
      </c>
      <c r="F32" s="3">
        <f t="shared" si="3"/>
        <v>64.554589182439742</v>
      </c>
      <c r="G32" s="3">
        <v>1</v>
      </c>
      <c r="H32" s="3">
        <v>3.4166699999999999</v>
      </c>
      <c r="I32" s="3">
        <v>3.4166699999999999</v>
      </c>
      <c r="J32" s="3">
        <f t="shared" si="4"/>
        <v>11.6736338889</v>
      </c>
      <c r="K32" s="3">
        <f t="shared" si="5"/>
        <v>3.5581236093367199</v>
      </c>
      <c r="L32" s="3">
        <v>0.6</v>
      </c>
      <c r="M32" s="3">
        <f t="shared" si="6"/>
        <v>7.0041803333399999</v>
      </c>
      <c r="N32" s="3">
        <f t="shared" si="7"/>
        <v>2.134874165602032</v>
      </c>
      <c r="O32" s="3"/>
      <c r="P32" s="3" t="s">
        <v>18</v>
      </c>
      <c r="Q32" s="3"/>
      <c r="R32" s="3"/>
      <c r="S32" s="3"/>
      <c r="T32" s="3"/>
      <c r="U32" s="3"/>
      <c r="V32" s="3"/>
      <c r="W32" s="38"/>
      <c r="X32" s="38"/>
      <c r="Y32" s="41"/>
    </row>
    <row r="33" spans="1:25" x14ac:dyDescent="0.15">
      <c r="A33" s="94">
        <v>1</v>
      </c>
      <c r="B33" s="38">
        <f>10.166667*D33</f>
        <v>1.5250000500000001</v>
      </c>
      <c r="C33" s="3">
        <f t="shared" si="1"/>
        <v>2.3256251525000025</v>
      </c>
      <c r="D33" s="3">
        <v>0.15</v>
      </c>
      <c r="E33" s="3">
        <f t="shared" si="2"/>
        <v>1.0959241084263722</v>
      </c>
      <c r="F33" s="3">
        <f t="shared" si="3"/>
        <v>0.33403766824835829</v>
      </c>
      <c r="G33" s="3">
        <v>4</v>
      </c>
      <c r="H33" s="3">
        <v>3.4166699999999999</v>
      </c>
      <c r="I33" s="3">
        <v>3.4166699999999999</v>
      </c>
      <c r="J33" s="3">
        <f t="shared" si="4"/>
        <v>46.694535555599998</v>
      </c>
      <c r="K33" s="3">
        <f t="shared" si="5"/>
        <v>14.23249443734688</v>
      </c>
      <c r="L33" s="3">
        <v>1</v>
      </c>
      <c r="M33" s="3">
        <f t="shared" si="6"/>
        <v>46.694535555599998</v>
      </c>
      <c r="N33" s="3">
        <f t="shared" si="7"/>
        <v>14.23249443734688</v>
      </c>
      <c r="O33" s="3"/>
      <c r="P33" s="3"/>
      <c r="Q33" s="3"/>
      <c r="R33" s="3"/>
      <c r="S33" s="3"/>
      <c r="T33" s="3"/>
      <c r="U33" s="3"/>
      <c r="V33" s="3"/>
      <c r="W33" s="38"/>
      <c r="X33" s="38"/>
      <c r="Y33" s="41"/>
    </row>
    <row r="34" spans="1:25" x14ac:dyDescent="0.15">
      <c r="A34" s="94">
        <v>2</v>
      </c>
      <c r="B34" s="38">
        <v>10.416667</v>
      </c>
      <c r="C34" s="3">
        <f t="shared" si="1"/>
        <v>108.50695138888901</v>
      </c>
      <c r="D34" s="3">
        <v>1</v>
      </c>
      <c r="E34" s="3">
        <f t="shared" si="2"/>
        <v>681.76870682763956</v>
      </c>
      <c r="F34" s="3">
        <f t="shared" si="3"/>
        <v>207.80310184106455</v>
      </c>
      <c r="G34" s="3">
        <v>1</v>
      </c>
      <c r="H34" s="3">
        <v>2.0833300000000001</v>
      </c>
      <c r="I34" s="3">
        <v>2.0833300000000001</v>
      </c>
      <c r="J34" s="3">
        <f t="shared" si="4"/>
        <v>4.3402638889000009</v>
      </c>
      <c r="K34" s="3">
        <f t="shared" si="5"/>
        <v>1.3229124333367204</v>
      </c>
      <c r="L34" s="3">
        <v>1</v>
      </c>
      <c r="M34" s="3">
        <f t="shared" si="6"/>
        <v>4.3402638889000009</v>
      </c>
      <c r="N34" s="3">
        <f t="shared" si="7"/>
        <v>1.3229124333367204</v>
      </c>
      <c r="O34" s="40" t="s">
        <v>18</v>
      </c>
      <c r="P34" s="3"/>
      <c r="Q34" s="3"/>
      <c r="R34" s="3"/>
      <c r="S34" s="3"/>
      <c r="T34" s="3"/>
      <c r="U34" s="3"/>
      <c r="V34" s="3"/>
      <c r="W34" s="38"/>
      <c r="X34" s="38"/>
      <c r="Y34" s="41"/>
    </row>
    <row r="35" spans="1:25" x14ac:dyDescent="0.15">
      <c r="A35" s="94">
        <v>1</v>
      </c>
      <c r="B35" s="38">
        <v>4.8333329999999997</v>
      </c>
      <c r="C35" s="3">
        <f t="shared" si="1"/>
        <v>23.361107888888995</v>
      </c>
      <c r="D35" s="3">
        <v>1</v>
      </c>
      <c r="E35" s="3">
        <f t="shared" si="2"/>
        <v>73.391022932654778</v>
      </c>
      <c r="F35" s="3">
        <f t="shared" si="3"/>
        <v>22.369583789873179</v>
      </c>
      <c r="G35" s="3">
        <v>2</v>
      </c>
      <c r="H35" s="3">
        <v>3.4166699999999999</v>
      </c>
      <c r="I35" s="3">
        <v>3.4166699999999999</v>
      </c>
      <c r="J35" s="3">
        <f t="shared" si="4"/>
        <v>23.347267777799999</v>
      </c>
      <c r="K35" s="3">
        <f t="shared" si="5"/>
        <v>7.1162472186734398</v>
      </c>
      <c r="L35" s="3">
        <v>0.65</v>
      </c>
      <c r="M35" s="3">
        <f t="shared" si="6"/>
        <v>15.175724055569999</v>
      </c>
      <c r="N35" s="3">
        <f t="shared" si="7"/>
        <v>4.6255606921377357</v>
      </c>
      <c r="O35" s="3" t="s">
        <v>18</v>
      </c>
      <c r="P35" s="3"/>
      <c r="Q35" s="3"/>
      <c r="R35" s="3"/>
      <c r="S35" s="3"/>
      <c r="T35" s="3"/>
      <c r="U35" s="3"/>
      <c r="V35" s="3"/>
      <c r="W35" s="38"/>
      <c r="X35" s="38"/>
      <c r="Y35" s="41"/>
    </row>
    <row r="36" spans="1:25" x14ac:dyDescent="0.15">
      <c r="A36" s="94"/>
      <c r="B36" s="38"/>
      <c r="C36" s="3"/>
      <c r="D36" s="3"/>
      <c r="E36" s="3"/>
      <c r="F36" s="3"/>
      <c r="G36" s="3">
        <v>1</v>
      </c>
      <c r="H36" s="3">
        <v>3.3332999999999999</v>
      </c>
      <c r="I36" s="3">
        <v>3.3332999999999999</v>
      </c>
      <c r="J36" s="3">
        <f t="shared" si="4"/>
        <v>11.11088889</v>
      </c>
      <c r="K36" s="3">
        <f t="shared" si="5"/>
        <v>3.3865989336720004</v>
      </c>
      <c r="L36" s="3">
        <v>0.75</v>
      </c>
      <c r="M36" s="3">
        <f t="shared" si="6"/>
        <v>8.3331666675000005</v>
      </c>
      <c r="N36" s="3">
        <f t="shared" si="7"/>
        <v>2.5399492002540001</v>
      </c>
      <c r="O36" s="3"/>
      <c r="P36" s="3"/>
      <c r="Q36" s="3"/>
      <c r="R36" s="3"/>
      <c r="S36" s="3" t="s">
        <v>18</v>
      </c>
      <c r="T36" s="3"/>
      <c r="U36" s="3"/>
      <c r="V36" s="3"/>
      <c r="W36" s="38"/>
      <c r="X36" s="38"/>
      <c r="Y36" s="41"/>
    </row>
    <row r="37" spans="1:25" x14ac:dyDescent="0.15">
      <c r="A37" s="94"/>
      <c r="B37" s="38"/>
      <c r="C37" s="3"/>
      <c r="D37" s="3"/>
      <c r="E37" s="7">
        <f>SUM(E29:E35)</f>
        <v>2739.7078752506159</v>
      </c>
      <c r="F37" s="7">
        <f>+E37*0.3048</f>
        <v>835.06296037638776</v>
      </c>
      <c r="G37" s="3"/>
      <c r="H37" s="3"/>
      <c r="I37" s="3"/>
      <c r="J37" s="7">
        <f>SUM(J29:J36)</f>
        <v>170.1270067012</v>
      </c>
      <c r="K37" s="7">
        <f>+J37*0.3048</f>
        <v>51.854711642525764</v>
      </c>
      <c r="L37" s="3"/>
      <c r="M37" s="7">
        <f>SUM(M29:M36)</f>
        <v>136.21932886091</v>
      </c>
      <c r="N37" s="7">
        <f t="shared" si="7"/>
        <v>41.519651436805368</v>
      </c>
      <c r="O37" s="3"/>
      <c r="P37" s="3" t="s">
        <v>18</v>
      </c>
      <c r="Q37" s="3" t="s">
        <v>18</v>
      </c>
      <c r="R37" s="3"/>
      <c r="S37" s="7">
        <f>SUM(S29:S36)</f>
        <v>10.5625</v>
      </c>
      <c r="T37" s="7">
        <f>+S37*0.3048</f>
        <v>3.2194500000000001</v>
      </c>
      <c r="U37" s="7">
        <v>234.833</v>
      </c>
      <c r="V37" s="7">
        <f>+U37*0.3048</f>
        <v>71.577098399999997</v>
      </c>
      <c r="W37" s="38"/>
      <c r="X37" s="38"/>
      <c r="Y37" s="41"/>
    </row>
    <row r="38" spans="1:25" x14ac:dyDescent="0.15">
      <c r="A38" s="215" t="s">
        <v>35</v>
      </c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40" t="s">
        <v>18</v>
      </c>
      <c r="P38" s="3"/>
      <c r="Q38" s="3"/>
      <c r="R38" s="3" t="s">
        <v>18</v>
      </c>
      <c r="S38" s="3"/>
      <c r="T38" s="3"/>
      <c r="U38" s="3"/>
      <c r="V38" s="3"/>
      <c r="W38" s="38"/>
      <c r="X38" s="38"/>
      <c r="Y38" s="41"/>
    </row>
    <row r="39" spans="1:25" x14ac:dyDescent="0.15">
      <c r="A39" s="94">
        <v>3</v>
      </c>
      <c r="B39" s="38">
        <f>8.41667</f>
        <v>8.4166699999999999</v>
      </c>
      <c r="C39" s="3">
        <f>+B39*B39</f>
        <v>70.840333888899991</v>
      </c>
      <c r="D39" s="3">
        <v>0.7</v>
      </c>
      <c r="E39" s="3">
        <f>+C39*3.14159*A39*D39</f>
        <v>467.35769753826156</v>
      </c>
      <c r="F39" s="3">
        <f>+E39*0.3048</f>
        <v>142.45062620966212</v>
      </c>
      <c r="G39" s="3">
        <v>3</v>
      </c>
      <c r="H39" s="3">
        <v>2.33</v>
      </c>
      <c r="I39" s="3">
        <v>3</v>
      </c>
      <c r="J39" s="3">
        <f>+G39*H39*I39</f>
        <v>20.97</v>
      </c>
      <c r="K39" s="3">
        <f>+J39*0.3048</f>
        <v>6.3916560000000002</v>
      </c>
      <c r="L39" s="3">
        <v>0.7</v>
      </c>
      <c r="M39" s="3">
        <f>+G39*H39*I39*L39</f>
        <v>14.678999999999998</v>
      </c>
      <c r="N39" s="3">
        <f t="shared" si="7"/>
        <v>4.4741591999999999</v>
      </c>
      <c r="O39" s="3"/>
      <c r="P39" s="3"/>
      <c r="Q39" s="3"/>
      <c r="R39" s="3"/>
      <c r="S39" s="3"/>
      <c r="T39" s="3"/>
      <c r="U39" s="602">
        <v>25</v>
      </c>
      <c r="V39" s="600">
        <f>+U39*0.3048</f>
        <v>7.62</v>
      </c>
      <c r="W39" s="38"/>
      <c r="X39" s="38"/>
      <c r="Y39" s="41"/>
    </row>
    <row r="40" spans="1:25" x14ac:dyDescent="0.15">
      <c r="A40" s="94">
        <v>1</v>
      </c>
      <c r="B40" s="38">
        <f>7.5</f>
        <v>7.5</v>
      </c>
      <c r="C40" s="3">
        <f>+B40*B40</f>
        <v>56.25</v>
      </c>
      <c r="D40" s="3">
        <v>0.7</v>
      </c>
      <c r="E40" s="3">
        <f>+C40*3.14159*A40*D40</f>
        <v>123.70010624999999</v>
      </c>
      <c r="F40" s="3">
        <f>+E40*0.3048</f>
        <v>37.703792385</v>
      </c>
      <c r="G40" s="3">
        <v>1</v>
      </c>
      <c r="H40" s="3">
        <v>3.25</v>
      </c>
      <c r="I40" s="3">
        <v>4.5</v>
      </c>
      <c r="J40" s="3">
        <f>+G40*H40*I40</f>
        <v>14.625</v>
      </c>
      <c r="K40" s="3">
        <f>+J40*0.3048</f>
        <v>4.4577</v>
      </c>
      <c r="L40" s="3">
        <v>0.7</v>
      </c>
      <c r="M40" s="3">
        <f>+G40*H40*I40*L40</f>
        <v>10.237499999999999</v>
      </c>
      <c r="N40" s="3">
        <f t="shared" si="7"/>
        <v>3.12039</v>
      </c>
      <c r="O40" s="3"/>
      <c r="P40" s="3"/>
      <c r="Q40" s="3"/>
      <c r="R40" s="3"/>
      <c r="S40" s="3"/>
      <c r="T40" s="3"/>
      <c r="U40" s="3">
        <v>63.5</v>
      </c>
      <c r="V40" s="600">
        <f>+U40*0.3048</f>
        <v>19.354800000000001</v>
      </c>
      <c r="W40" s="38"/>
      <c r="X40" s="38"/>
      <c r="Y40" s="41"/>
    </row>
    <row r="41" spans="1:25" x14ac:dyDescent="0.15">
      <c r="A41" s="94">
        <v>1</v>
      </c>
      <c r="B41" s="38">
        <f>6.6667</f>
        <v>6.6666999999999996</v>
      </c>
      <c r="C41" s="3">
        <f>+B41*B41</f>
        <v>44.444888889999994</v>
      </c>
      <c r="D41" s="3">
        <v>0.7</v>
      </c>
      <c r="E41" s="3">
        <f>+C41*3.14159*A41*D41</f>
        <v>97.739332941554551</v>
      </c>
      <c r="F41" s="3">
        <f>+E41*0.3048</f>
        <v>29.790948680585828</v>
      </c>
      <c r="G41" s="3">
        <v>1</v>
      </c>
      <c r="H41" s="3">
        <v>2.6669999999999998</v>
      </c>
      <c r="I41" s="3">
        <v>2.9166669999999999</v>
      </c>
      <c r="J41" s="3">
        <f>+G41*H41*I41</f>
        <v>7.7787508889999994</v>
      </c>
      <c r="K41" s="3">
        <f>+J41*0.3048</f>
        <v>2.3709632709671999</v>
      </c>
      <c r="L41" s="3">
        <v>0.7</v>
      </c>
      <c r="M41" s="3">
        <f>+G41*H41*I41*L41</f>
        <v>5.4451256222999991</v>
      </c>
      <c r="N41" s="3">
        <f t="shared" si="7"/>
        <v>1.6596742896770398</v>
      </c>
      <c r="O41" s="3"/>
      <c r="P41" s="3"/>
      <c r="Q41" s="3"/>
      <c r="R41" s="3"/>
      <c r="S41" s="3" t="s">
        <v>18</v>
      </c>
      <c r="T41" s="3"/>
      <c r="U41" s="3">
        <v>10.667</v>
      </c>
      <c r="V41" s="600">
        <f>+U41*0.3048</f>
        <v>3.2513016000000001</v>
      </c>
      <c r="W41" s="38"/>
      <c r="X41" s="38"/>
      <c r="Y41" s="41"/>
    </row>
    <row r="42" spans="1:25" x14ac:dyDescent="0.15">
      <c r="A42" s="94">
        <v>1</v>
      </c>
      <c r="B42" s="38">
        <f>5</f>
        <v>5</v>
      </c>
      <c r="C42" s="3">
        <f>+B42*B42</f>
        <v>25</v>
      </c>
      <c r="D42" s="3">
        <v>0.7</v>
      </c>
      <c r="E42" s="3">
        <f>+C42*3.14159*A42*D42</f>
        <v>54.977824999999996</v>
      </c>
      <c r="F42" s="3">
        <f>+E42*0.3048</f>
        <v>16.757241059999998</v>
      </c>
      <c r="G42" s="3">
        <v>1</v>
      </c>
      <c r="H42" s="3">
        <v>2.6669999999999998</v>
      </c>
      <c r="I42" s="3">
        <v>2.9166669999999999</v>
      </c>
      <c r="J42" s="3">
        <f>+G42*H42*I42</f>
        <v>7.7787508889999994</v>
      </c>
      <c r="K42" s="3">
        <f>+J42*0.3048</f>
        <v>2.3709632709671999</v>
      </c>
      <c r="L42" s="3">
        <v>0.7</v>
      </c>
      <c r="M42" s="3">
        <f>+G42*H42*I42*L42</f>
        <v>5.4451256222999991</v>
      </c>
      <c r="N42" s="3">
        <f t="shared" si="7"/>
        <v>1.6596742896770398</v>
      </c>
      <c r="O42" s="3"/>
      <c r="P42" s="3"/>
      <c r="Q42" s="3"/>
      <c r="R42" s="3"/>
      <c r="S42" s="3"/>
      <c r="T42" s="3" t="s">
        <v>18</v>
      </c>
      <c r="U42" s="3">
        <v>51.83334</v>
      </c>
      <c r="V42" s="600">
        <f>+U42*0.3048</f>
        <v>15.798802032000001</v>
      </c>
      <c r="W42" s="38"/>
      <c r="X42" s="38"/>
      <c r="Y42" s="41"/>
    </row>
    <row r="43" spans="1:25" x14ac:dyDescent="0.15">
      <c r="A43" s="94"/>
      <c r="B43" s="38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>
        <v>48.166670000000003</v>
      </c>
      <c r="V43" s="600">
        <f>+U43*0.3048</f>
        <v>14.681201016000001</v>
      </c>
      <c r="W43" s="38"/>
      <c r="X43" s="38"/>
      <c r="Y43" s="41"/>
    </row>
    <row r="44" spans="1:25" x14ac:dyDescent="0.15">
      <c r="A44" s="94"/>
      <c r="B44" s="38"/>
      <c r="C44" s="3" t="s">
        <v>18</v>
      </c>
      <c r="D44" s="3"/>
      <c r="E44" s="7">
        <f>SUM(E39:E42)</f>
        <v>743.77496172981614</v>
      </c>
      <c r="F44" s="7">
        <f>+E44*0.3048</f>
        <v>226.70260833524796</v>
      </c>
      <c r="G44" s="3"/>
      <c r="H44" s="3" t="s">
        <v>18</v>
      </c>
      <c r="I44" s="3"/>
      <c r="J44" s="7">
        <f>SUM(J39:J42)</f>
        <v>51.152501778000001</v>
      </c>
      <c r="K44" s="7">
        <f>+J44*0.3048</f>
        <v>15.591282541934401</v>
      </c>
      <c r="L44" s="3"/>
      <c r="M44" s="7">
        <f>SUM(M39:M42)</f>
        <v>35.806751244599994</v>
      </c>
      <c r="N44" s="7">
        <f>+M44*0.3048</f>
        <v>10.913897779354079</v>
      </c>
      <c r="O44" s="3"/>
      <c r="P44" s="3"/>
      <c r="Q44" s="3" t="s">
        <v>18</v>
      </c>
      <c r="R44" s="3"/>
      <c r="S44" s="3"/>
      <c r="T44" s="3"/>
      <c r="U44" s="7">
        <f>SUM(U39:U43)</f>
        <v>199.16701</v>
      </c>
      <c r="V44" s="601">
        <f>SUM(V39:V43)</f>
        <v>60.706104648000007</v>
      </c>
      <c r="W44" s="38"/>
      <c r="X44" s="38"/>
      <c r="Y44" s="41"/>
    </row>
    <row r="45" spans="1:25" x14ac:dyDescent="0.15">
      <c r="A45" s="215" t="s">
        <v>56</v>
      </c>
      <c r="B45" s="38"/>
      <c r="C45" s="3"/>
      <c r="D45" s="3"/>
      <c r="E45" s="3" t="s">
        <v>18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 t="s">
        <v>18</v>
      </c>
      <c r="S45" s="3"/>
      <c r="T45" s="3"/>
      <c r="U45" s="3"/>
      <c r="V45" s="3"/>
      <c r="W45" s="38"/>
      <c r="X45" s="38"/>
      <c r="Y45" s="41"/>
    </row>
    <row r="46" spans="1:25" x14ac:dyDescent="0.15">
      <c r="A46" s="216">
        <v>1</v>
      </c>
      <c r="B46" s="38">
        <v>13.5</v>
      </c>
      <c r="C46" s="3">
        <f t="shared" ref="C46:C51" si="8">+B46*B46</f>
        <v>182.25</v>
      </c>
      <c r="D46" s="3">
        <v>1</v>
      </c>
      <c r="E46" s="3">
        <f>+C46*3.14159*A46*D46</f>
        <v>572.5547775</v>
      </c>
      <c r="F46" s="3">
        <f t="shared" ref="F46:F51" si="9">+E46*0.3048</f>
        <v>174.51469618200002</v>
      </c>
      <c r="G46" s="3">
        <v>1</v>
      </c>
      <c r="H46" s="3">
        <v>3.5</v>
      </c>
      <c r="I46" s="3">
        <v>6.75</v>
      </c>
      <c r="J46" s="3">
        <f>+G46*H46*I46</f>
        <v>23.625</v>
      </c>
      <c r="K46" s="3">
        <f>+J46*0.3048</f>
        <v>7.2009000000000007</v>
      </c>
      <c r="L46" s="3">
        <v>0.6</v>
      </c>
      <c r="M46" s="3">
        <f>+G46*H46*I46*L46</f>
        <v>14.174999999999999</v>
      </c>
      <c r="N46" s="3">
        <f>+M46*0.3048</f>
        <v>4.3205400000000003</v>
      </c>
      <c r="O46" s="3"/>
      <c r="P46" s="3"/>
      <c r="Q46" s="3"/>
      <c r="R46" s="3" t="s">
        <v>18</v>
      </c>
      <c r="S46" s="3"/>
      <c r="T46" s="3"/>
      <c r="U46" s="3">
        <v>105</v>
      </c>
      <c r="V46" s="600">
        <f>+U46*0.3048</f>
        <v>32.004000000000005</v>
      </c>
      <c r="W46" s="38"/>
      <c r="X46" s="38"/>
      <c r="Y46" s="41"/>
    </row>
    <row r="47" spans="1:25" x14ac:dyDescent="0.15">
      <c r="A47" s="94">
        <v>1</v>
      </c>
      <c r="B47" s="38">
        <v>14.75</v>
      </c>
      <c r="C47" s="3">
        <f t="shared" si="8"/>
        <v>217.5625</v>
      </c>
      <c r="D47" s="3">
        <v>1</v>
      </c>
      <c r="E47" s="3">
        <f>+C47*3.14159*A47*D47</f>
        <v>683.49217437499999</v>
      </c>
      <c r="F47" s="3">
        <f t="shared" si="9"/>
        <v>208.32841474950001</v>
      </c>
      <c r="G47" s="3">
        <v>2</v>
      </c>
      <c r="H47" s="3">
        <v>2.8332999999999999</v>
      </c>
      <c r="I47" s="3">
        <v>3.25</v>
      </c>
      <c r="J47" s="3">
        <f>+G47*H47*I47</f>
        <v>18.416450000000001</v>
      </c>
      <c r="K47" s="3">
        <f>+J47*0.3048</f>
        <v>5.6133339600000003</v>
      </c>
      <c r="L47" s="3">
        <v>0.6</v>
      </c>
      <c r="M47" s="3">
        <f>+G47*H47*I47*L47</f>
        <v>11.04987</v>
      </c>
      <c r="N47" s="3">
        <f>+M47*0.3048</f>
        <v>3.3680003760000004</v>
      </c>
      <c r="O47" s="3"/>
      <c r="P47" s="3"/>
      <c r="Q47" s="3" t="s">
        <v>18</v>
      </c>
      <c r="R47" s="3"/>
      <c r="S47" s="3"/>
      <c r="T47" s="3"/>
      <c r="U47" s="3">
        <v>38.833300000000001</v>
      </c>
      <c r="V47" s="600">
        <f>+U47*0.3048</f>
        <v>11.836389840000001</v>
      </c>
      <c r="W47" s="38"/>
      <c r="X47" s="38"/>
      <c r="Y47" s="41"/>
    </row>
    <row r="48" spans="1:25" x14ac:dyDescent="0.15">
      <c r="A48" s="94">
        <v>1</v>
      </c>
      <c r="B48" s="38">
        <v>14.75</v>
      </c>
      <c r="C48" s="3">
        <f t="shared" si="8"/>
        <v>217.5625</v>
      </c>
      <c r="D48" s="3">
        <v>1</v>
      </c>
      <c r="E48" s="3">
        <f>+C48*3.14159*A48*D48</f>
        <v>683.49217437499999</v>
      </c>
      <c r="F48" s="3">
        <f t="shared" si="9"/>
        <v>208.32841474950001</v>
      </c>
      <c r="G48" s="3">
        <v>3</v>
      </c>
      <c r="H48" s="3">
        <v>1.75</v>
      </c>
      <c r="I48" s="3">
        <v>1.75</v>
      </c>
      <c r="J48" s="3">
        <f>+G48*H48*I48</f>
        <v>9.1875</v>
      </c>
      <c r="K48" s="3">
        <f>+J48*0.3048</f>
        <v>2.8003500000000003</v>
      </c>
      <c r="L48" s="3">
        <v>0.65</v>
      </c>
      <c r="M48" s="3">
        <f>+G48*H48*I48*L48</f>
        <v>5.9718749999999998</v>
      </c>
      <c r="N48" s="3">
        <f>+M48*0.3048</f>
        <v>1.8202275000000001</v>
      </c>
      <c r="O48" s="3"/>
      <c r="P48" s="3"/>
      <c r="Q48" s="3"/>
      <c r="R48" s="3"/>
      <c r="S48" s="40" t="s">
        <v>796</v>
      </c>
      <c r="T48" s="3"/>
      <c r="U48" s="3">
        <v>136.83330000000001</v>
      </c>
      <c r="V48" s="600">
        <f>+U48*0.3048</f>
        <v>41.706789840000006</v>
      </c>
      <c r="W48" s="38"/>
      <c r="X48" s="38"/>
      <c r="Y48" s="41"/>
    </row>
    <row r="49" spans="1:27" x14ac:dyDescent="0.15">
      <c r="A49" s="94">
        <v>3</v>
      </c>
      <c r="B49" s="38">
        <f>11.1667</f>
        <v>11.166700000000001</v>
      </c>
      <c r="C49" s="3">
        <f t="shared" si="8"/>
        <v>124.69518889000001</v>
      </c>
      <c r="D49" s="3">
        <v>1</v>
      </c>
      <c r="E49" s="3">
        <f>+C49*3.14159*A49*D49</f>
        <v>1175.2234753948053</v>
      </c>
      <c r="F49" s="3">
        <f t="shared" si="9"/>
        <v>358.20811530033666</v>
      </c>
      <c r="G49" s="3">
        <v>3</v>
      </c>
      <c r="H49" s="3">
        <v>3.25</v>
      </c>
      <c r="I49" s="3">
        <v>3.25</v>
      </c>
      <c r="J49" s="3">
        <f>+G49*H49*I49</f>
        <v>31.6875</v>
      </c>
      <c r="K49" s="3">
        <f>+J49*0.3048</f>
        <v>9.6583500000000004</v>
      </c>
      <c r="L49" s="3">
        <v>0.65</v>
      </c>
      <c r="M49" s="3">
        <f>+G49*H49*I49*L49</f>
        <v>20.596875000000001</v>
      </c>
      <c r="N49" s="3">
        <f>+M49*0.3048</f>
        <v>6.2779275000000005</v>
      </c>
      <c r="O49" s="3"/>
      <c r="P49" s="3"/>
      <c r="Q49" s="3"/>
      <c r="R49" s="3"/>
      <c r="S49" s="3"/>
      <c r="T49" s="3"/>
      <c r="U49" s="3">
        <v>25.5</v>
      </c>
      <c r="V49" s="600">
        <f>+U49*0.3048</f>
        <v>7.7724000000000002</v>
      </c>
      <c r="W49" s="38"/>
      <c r="X49" s="38"/>
      <c r="Y49" s="41"/>
    </row>
    <row r="50" spans="1:27" x14ac:dyDescent="0.15">
      <c r="A50" s="94">
        <v>3</v>
      </c>
      <c r="B50" s="38">
        <f>6.333*0.35</f>
        <v>2.2165499999999998</v>
      </c>
      <c r="C50" s="3">
        <f t="shared" si="8"/>
        <v>4.9130939024999991</v>
      </c>
      <c r="D50" s="3">
        <v>1</v>
      </c>
      <c r="E50" s="3">
        <f>+C50*3.14159*A50*D50</f>
        <v>46.304780019464914</v>
      </c>
      <c r="F50" s="3">
        <f t="shared" si="9"/>
        <v>14.113696949932907</v>
      </c>
      <c r="G50" s="3">
        <v>3</v>
      </c>
      <c r="H50" s="3">
        <v>3.25</v>
      </c>
      <c r="I50" s="3">
        <v>3.25</v>
      </c>
      <c r="J50" s="3">
        <f>+G50*H50*I50</f>
        <v>31.6875</v>
      </c>
      <c r="K50" s="3">
        <f>+J50*0.3048</f>
        <v>9.6583500000000004</v>
      </c>
      <c r="L50" s="3">
        <v>0.65</v>
      </c>
      <c r="M50" s="3">
        <f>+G50*H50*I50*L50</f>
        <v>20.596875000000001</v>
      </c>
      <c r="N50" s="3">
        <f>+M50*0.3048</f>
        <v>6.2779275000000005</v>
      </c>
      <c r="O50" s="3"/>
      <c r="P50" s="3"/>
      <c r="Q50" s="3"/>
      <c r="R50" s="3"/>
      <c r="S50" s="3"/>
      <c r="T50" s="3"/>
      <c r="U50" s="3"/>
      <c r="V50" s="3"/>
      <c r="W50" s="113" t="s">
        <v>18</v>
      </c>
      <c r="X50" s="38"/>
      <c r="Y50" s="41"/>
    </row>
    <row r="51" spans="1:27" x14ac:dyDescent="0.15">
      <c r="A51" s="94">
        <v>3</v>
      </c>
      <c r="B51" s="38">
        <f>8</f>
        <v>8</v>
      </c>
      <c r="C51" s="3">
        <f t="shared" si="8"/>
        <v>64</v>
      </c>
      <c r="D51" s="3">
        <v>1</v>
      </c>
      <c r="E51" s="3">
        <f>+C51*3.14159*A51</f>
        <v>603.18527999999992</v>
      </c>
      <c r="F51" s="3">
        <f t="shared" si="9"/>
        <v>183.85087334399998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8"/>
      <c r="X51" s="38"/>
      <c r="Y51" s="41"/>
    </row>
    <row r="52" spans="1:27" x14ac:dyDescent="0.15">
      <c r="A52" s="94"/>
      <c r="B52" s="38"/>
      <c r="C52" s="3"/>
      <c r="D52" s="3"/>
      <c r="E52" s="7">
        <f>SUM(E46:E51)</f>
        <v>3764.2526616642708</v>
      </c>
      <c r="F52" s="7">
        <f>+E52*0.3048</f>
        <v>1147.3442112752698</v>
      </c>
      <c r="G52" s="3"/>
      <c r="H52" s="3"/>
      <c r="I52" s="3" t="s">
        <v>18</v>
      </c>
      <c r="J52" s="7">
        <f>SUM(J46:J50)</f>
        <v>114.60395</v>
      </c>
      <c r="K52" s="7">
        <f>+J52*0.3048</f>
        <v>34.931283960000002</v>
      </c>
      <c r="L52" s="3"/>
      <c r="M52" s="7">
        <f>SUM(M46:M50)</f>
        <v>72.390495000000001</v>
      </c>
      <c r="N52" s="7">
        <f>+M52*0.3048</f>
        <v>22.064622876000001</v>
      </c>
      <c r="O52" s="3"/>
      <c r="P52" s="3"/>
      <c r="Q52" s="3"/>
      <c r="R52" s="3"/>
      <c r="S52" s="3"/>
      <c r="T52" s="3"/>
      <c r="U52" s="7">
        <f>SUM(U46:U49)</f>
        <v>306.16660000000002</v>
      </c>
      <c r="V52" s="601">
        <f>SUM(V46:V49)</f>
        <v>93.319579680000018</v>
      </c>
      <c r="W52" s="38"/>
      <c r="X52" s="38"/>
      <c r="Y52" s="41"/>
    </row>
    <row r="53" spans="1:27" x14ac:dyDescent="0.15">
      <c r="A53" s="94"/>
      <c r="B53" s="38"/>
      <c r="C53" s="3"/>
      <c r="D53" s="3"/>
      <c r="E53" s="3"/>
      <c r="F53" s="3"/>
      <c r="G53" s="3"/>
      <c r="H53" s="3" t="s">
        <v>18</v>
      </c>
      <c r="I53" s="3" t="s">
        <v>18</v>
      </c>
      <c r="J53" s="3" t="s">
        <v>18</v>
      </c>
      <c r="K53" s="3"/>
      <c r="L53" s="3"/>
      <c r="M53" s="3"/>
      <c r="N53" s="3"/>
      <c r="O53" s="3"/>
      <c r="P53" s="3"/>
      <c r="Q53" s="40" t="s">
        <v>18</v>
      </c>
      <c r="R53" s="3"/>
      <c r="S53" s="3"/>
      <c r="T53" s="3"/>
      <c r="U53" s="3"/>
      <c r="V53" s="3"/>
      <c r="W53" s="38"/>
      <c r="X53" s="38"/>
      <c r="Y53" s="41"/>
      <c r="Z53" s="2" t="s">
        <v>313</v>
      </c>
    </row>
    <row r="54" spans="1:27" x14ac:dyDescent="0.15">
      <c r="A54" s="215" t="s">
        <v>58</v>
      </c>
      <c r="B54" s="38" t="s">
        <v>18</v>
      </c>
      <c r="C54" s="3"/>
      <c r="D54" s="3"/>
      <c r="E54" s="3"/>
      <c r="F54" s="3" t="s">
        <v>18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8"/>
      <c r="X54" s="38"/>
      <c r="Y54" s="41"/>
      <c r="Z54" s="2" t="s">
        <v>18</v>
      </c>
    </row>
    <row r="55" spans="1:27" x14ac:dyDescent="0.15">
      <c r="A55" s="94">
        <v>2</v>
      </c>
      <c r="B55" s="38">
        <v>10</v>
      </c>
      <c r="C55" s="3">
        <f>+B55*B55</f>
        <v>100</v>
      </c>
      <c r="D55" s="3">
        <v>0.7</v>
      </c>
      <c r="E55" s="3">
        <f>+C55*3.14159*A55*D55</f>
        <v>439.82259999999997</v>
      </c>
      <c r="F55" s="3">
        <f>+E55*0.3048</f>
        <v>134.05792847999999</v>
      </c>
      <c r="G55" s="3">
        <v>2</v>
      </c>
      <c r="H55" s="3">
        <v>3.25</v>
      </c>
      <c r="I55" s="3">
        <v>3.25</v>
      </c>
      <c r="J55" s="3">
        <f>+G55*H55*I55</f>
        <v>21.125</v>
      </c>
      <c r="K55" s="3">
        <f>+J55*0.3048</f>
        <v>6.4389000000000003</v>
      </c>
      <c r="L55" s="3">
        <v>0.65</v>
      </c>
      <c r="M55" s="3">
        <f>+G55*H55*I55*L55</f>
        <v>13.731250000000001</v>
      </c>
      <c r="N55" s="3">
        <f>+M55*0.3048</f>
        <v>4.1852850000000004</v>
      </c>
      <c r="O55" s="3">
        <v>2</v>
      </c>
      <c r="P55" s="3">
        <v>3.25</v>
      </c>
      <c r="Q55" s="3">
        <v>3.25</v>
      </c>
      <c r="R55" s="3">
        <v>0.65</v>
      </c>
      <c r="S55" s="3">
        <f>+O55*P55*Q55*R55</f>
        <v>13.731250000000001</v>
      </c>
      <c r="T55" s="3">
        <f>+S55*0.3048</f>
        <v>4.1852850000000004</v>
      </c>
      <c r="U55" s="3"/>
      <c r="V55" s="3"/>
      <c r="W55" s="38"/>
      <c r="X55" s="38"/>
      <c r="Y55" s="41"/>
      <c r="AA55" s="2" t="s">
        <v>18</v>
      </c>
    </row>
    <row r="56" spans="1:27" x14ac:dyDescent="0.15">
      <c r="A56" s="94">
        <v>4</v>
      </c>
      <c r="B56" s="38">
        <v>1.333</v>
      </c>
      <c r="C56" s="3">
        <f>+B56*B56</f>
        <v>1.7768889999999999</v>
      </c>
      <c r="D56" s="3">
        <v>1</v>
      </c>
      <c r="E56" s="3">
        <f>+C56*3.14159*A56*D56</f>
        <v>22.329026854039999</v>
      </c>
      <c r="F56" s="3">
        <f>+E56*0.3048</f>
        <v>6.8058873851113919</v>
      </c>
      <c r="G56" s="3">
        <v>4</v>
      </c>
      <c r="H56" s="3">
        <v>3.25</v>
      </c>
      <c r="I56" s="3">
        <v>3.25</v>
      </c>
      <c r="J56" s="3">
        <f>+G56*H56*I56</f>
        <v>42.25</v>
      </c>
      <c r="K56" s="3">
        <f>+J56*0.3048</f>
        <v>12.877800000000001</v>
      </c>
      <c r="L56" s="3">
        <v>0.7</v>
      </c>
      <c r="M56" s="3">
        <f>+G56*H56*I56*L56</f>
        <v>29.574999999999999</v>
      </c>
      <c r="N56" s="3">
        <f>+M56*0.3048</f>
        <v>9.0144599999999997</v>
      </c>
      <c r="O56" s="3">
        <v>3</v>
      </c>
      <c r="P56" s="3">
        <v>3.25</v>
      </c>
      <c r="Q56" s="3">
        <v>4</v>
      </c>
      <c r="R56" s="3">
        <v>1</v>
      </c>
      <c r="S56" s="3">
        <f>+O56*P56*Q56*R56</f>
        <v>39</v>
      </c>
      <c r="T56" s="3">
        <f>+S56*0.3048</f>
        <v>11.8872</v>
      </c>
      <c r="U56" s="3" t="s">
        <v>18</v>
      </c>
      <c r="V56" s="3"/>
      <c r="W56" s="38"/>
      <c r="X56" s="38"/>
      <c r="Y56" s="41"/>
    </row>
    <row r="57" spans="1:27" x14ac:dyDescent="0.15">
      <c r="A57" s="94"/>
      <c r="B57" s="38"/>
      <c r="C57" s="3"/>
      <c r="D57" s="3"/>
      <c r="E57" s="7">
        <f>SUM(E55:E56)</f>
        <v>462.15162685403999</v>
      </c>
      <c r="F57" s="7">
        <f>+E57*0.3048</f>
        <v>140.86381586511141</v>
      </c>
      <c r="G57" s="3"/>
      <c r="H57" s="3"/>
      <c r="I57" s="3"/>
      <c r="J57" s="7">
        <f>SUM(J55:J56)</f>
        <v>63.375</v>
      </c>
      <c r="K57" s="7">
        <f>+J57*0.3048</f>
        <v>19.316700000000001</v>
      </c>
      <c r="L57" s="3"/>
      <c r="M57" s="7">
        <f>SUM(M55:M56)</f>
        <v>43.306249999999999</v>
      </c>
      <c r="N57" s="7">
        <f>+M57*0.3048</f>
        <v>13.199745</v>
      </c>
      <c r="O57" s="3"/>
      <c r="P57" s="3"/>
      <c r="Q57" s="3"/>
      <c r="R57" s="3"/>
      <c r="S57" s="7">
        <f>SUM(S55:S56)</f>
        <v>52.731250000000003</v>
      </c>
      <c r="T57" s="7">
        <f>+S57*0.3048</f>
        <v>16.072485</v>
      </c>
      <c r="U57" s="7">
        <f>101.36+56.15+128.29+44.38+15.74</f>
        <v>345.91999999999996</v>
      </c>
      <c r="V57" s="601">
        <f>+U57*0.3048</f>
        <v>105.43641599999999</v>
      </c>
      <c r="W57" s="38"/>
      <c r="X57" s="38"/>
      <c r="Y57" s="41"/>
    </row>
    <row r="58" spans="1:27" x14ac:dyDescent="0.15">
      <c r="A58" s="94"/>
      <c r="B58" s="38"/>
      <c r="C58" s="3"/>
      <c r="D58" s="3"/>
      <c r="E58" s="3"/>
      <c r="F58" s="3"/>
      <c r="G58" s="3"/>
      <c r="H58" s="3"/>
      <c r="I58" s="3"/>
      <c r="J58" s="3"/>
      <c r="K58" s="3"/>
      <c r="L58" s="3" t="s">
        <v>18</v>
      </c>
      <c r="M58" s="3"/>
      <c r="N58" s="3"/>
      <c r="O58" s="40" t="s">
        <v>18</v>
      </c>
      <c r="P58" s="3"/>
      <c r="Q58" s="3"/>
      <c r="R58" s="3"/>
      <c r="S58" s="3"/>
      <c r="T58" s="3"/>
      <c r="U58" s="3"/>
      <c r="V58" s="3"/>
      <c r="W58" s="38"/>
      <c r="X58" s="38"/>
      <c r="Y58" s="41"/>
      <c r="Z58" s="2" t="s">
        <v>18</v>
      </c>
    </row>
    <row r="59" spans="1:27" x14ac:dyDescent="0.15">
      <c r="A59" s="94"/>
      <c r="B59" s="38"/>
      <c r="C59" s="3"/>
      <c r="D59" s="3"/>
      <c r="E59" s="3"/>
      <c r="F59" s="3"/>
      <c r="G59" s="3"/>
      <c r="H59" s="3"/>
      <c r="I59" s="3" t="s">
        <v>18</v>
      </c>
      <c r="J59" s="3"/>
      <c r="K59" s="3"/>
      <c r="L59" s="3"/>
      <c r="M59" s="3"/>
      <c r="N59" s="3"/>
      <c r="O59" s="3" t="s">
        <v>18</v>
      </c>
      <c r="P59" s="40" t="s">
        <v>18</v>
      </c>
      <c r="Q59" s="3"/>
      <c r="R59" s="3"/>
      <c r="S59" s="3"/>
      <c r="T59" s="3"/>
      <c r="U59" s="3"/>
      <c r="V59" s="3"/>
      <c r="W59" s="38"/>
      <c r="X59" s="38"/>
      <c r="Y59" s="41"/>
    </row>
    <row r="60" spans="1:27" ht="14" thickBot="1" x14ac:dyDescent="0.2">
      <c r="A60" s="577" t="s">
        <v>67</v>
      </c>
      <c r="B60" s="38"/>
      <c r="C60" s="3"/>
      <c r="D60" s="3"/>
      <c r="E60" s="3"/>
      <c r="F60" s="3"/>
      <c r="G60" s="3"/>
      <c r="H60" s="3"/>
      <c r="I60" s="3" t="s">
        <v>18</v>
      </c>
      <c r="J60" s="3"/>
      <c r="K60" s="3"/>
      <c r="L60" s="3"/>
      <c r="M60" s="3"/>
      <c r="N60" s="3"/>
      <c r="O60" s="3"/>
      <c r="P60" s="3" t="s">
        <v>18</v>
      </c>
      <c r="Q60" s="3"/>
      <c r="R60" s="3" t="s">
        <v>18</v>
      </c>
      <c r="S60" s="3"/>
      <c r="T60" s="3"/>
      <c r="U60" s="3"/>
      <c r="V60" s="3"/>
      <c r="W60" s="113" t="s">
        <v>18</v>
      </c>
      <c r="X60" s="38"/>
      <c r="Y60" s="41"/>
    </row>
    <row r="61" spans="1:27" x14ac:dyDescent="0.15">
      <c r="A61" s="57">
        <v>6</v>
      </c>
      <c r="B61" s="38">
        <v>8.5</v>
      </c>
      <c r="C61" s="3">
        <f>+B61*B61</f>
        <v>72.25</v>
      </c>
      <c r="D61" s="3">
        <v>1</v>
      </c>
      <c r="E61" s="3">
        <f>+C61*3.14159*A61*D61</f>
        <v>1361.879265</v>
      </c>
      <c r="F61" s="3">
        <f>+E61*0.3048</f>
        <v>415.100799972</v>
      </c>
      <c r="G61" s="3">
        <v>6</v>
      </c>
      <c r="H61" s="3">
        <v>3.25</v>
      </c>
      <c r="I61" s="3">
        <v>3.25</v>
      </c>
      <c r="J61" s="3">
        <f>+G61*H61*I61</f>
        <v>63.375</v>
      </c>
      <c r="K61" s="3">
        <f>+J61*0.3048</f>
        <v>19.316700000000001</v>
      </c>
      <c r="L61" s="3">
        <v>0.7</v>
      </c>
      <c r="M61" s="3">
        <f>+G61*H61*I61*L61</f>
        <v>44.362499999999997</v>
      </c>
      <c r="N61" s="3">
        <f>+M61*0.3048</f>
        <v>13.52169</v>
      </c>
      <c r="O61" s="3"/>
      <c r="P61" s="3"/>
      <c r="Q61" s="3" t="s">
        <v>18</v>
      </c>
      <c r="R61" s="3" t="s">
        <v>18</v>
      </c>
      <c r="S61" s="3"/>
      <c r="T61" s="3"/>
      <c r="U61" s="3"/>
      <c r="V61" s="3"/>
      <c r="W61" s="38"/>
      <c r="X61" s="38"/>
      <c r="Y61" s="41"/>
    </row>
    <row r="62" spans="1:27" x14ac:dyDescent="0.15">
      <c r="A62" s="94">
        <v>7</v>
      </c>
      <c r="B62" s="38">
        <v>4.6669999999999998</v>
      </c>
      <c r="C62" s="3">
        <f>+B62*B62</f>
        <v>21.780888999999998</v>
      </c>
      <c r="D62" s="3">
        <v>0.75</v>
      </c>
      <c r="E62" s="3">
        <f>+C62*3.14159*A62*D62</f>
        <v>359.23977113592741</v>
      </c>
      <c r="F62" s="3">
        <f>+E62*0.3048</f>
        <v>109.49628224223068</v>
      </c>
      <c r="G62" s="3">
        <v>5</v>
      </c>
      <c r="H62" s="3">
        <v>3.25</v>
      </c>
      <c r="I62" s="3">
        <v>3.25</v>
      </c>
      <c r="J62" s="3">
        <f>+G62*H62*I62</f>
        <v>52.8125</v>
      </c>
      <c r="K62" s="3">
        <f>+J62*0.3048</f>
        <v>16.097250000000003</v>
      </c>
      <c r="L62" s="3">
        <v>1</v>
      </c>
      <c r="M62" s="3">
        <f>+G62*H62*I62*L62</f>
        <v>52.8125</v>
      </c>
      <c r="N62" s="3">
        <f>+M62*0.3048</f>
        <v>16.097250000000003</v>
      </c>
      <c r="O62" s="3"/>
      <c r="P62" s="3"/>
      <c r="Q62" s="3"/>
      <c r="R62" s="3"/>
      <c r="S62" s="3"/>
      <c r="T62" s="3"/>
      <c r="U62" s="3"/>
      <c r="V62" s="3"/>
      <c r="W62" s="38"/>
      <c r="X62" s="38"/>
      <c r="Y62" s="41"/>
    </row>
    <row r="63" spans="1:27" ht="14" thickBot="1" x14ac:dyDescent="0.2">
      <c r="A63" s="94"/>
      <c r="B63" s="71"/>
      <c r="C63" s="71"/>
      <c r="D63" s="71"/>
      <c r="E63" s="84">
        <f>SUM(E61:E62)</f>
        <v>1721.1190361359274</v>
      </c>
      <c r="F63" s="84">
        <f>+E63*0.3048</f>
        <v>524.59708221423068</v>
      </c>
      <c r="G63" s="84" t="s">
        <v>18</v>
      </c>
      <c r="H63" s="84"/>
      <c r="I63" s="84" t="s">
        <v>18</v>
      </c>
      <c r="J63" s="84">
        <f>SUM(J61:J62)</f>
        <v>116.1875</v>
      </c>
      <c r="K63" s="84">
        <f>+J63*0.3048</f>
        <v>35.41395</v>
      </c>
      <c r="L63" s="84"/>
      <c r="M63" s="84">
        <f>SUM(M61:M62)</f>
        <v>97.174999999999997</v>
      </c>
      <c r="N63" s="84">
        <f>+M63*0.3048</f>
        <v>29.618940000000002</v>
      </c>
      <c r="O63" s="84"/>
      <c r="P63" s="84"/>
      <c r="Q63" s="84"/>
      <c r="R63" s="84"/>
      <c r="S63" s="84"/>
      <c r="T63" s="84"/>
      <c r="U63" s="84">
        <f>92.55+16.62+176.97</f>
        <v>286.14</v>
      </c>
      <c r="V63" s="463">
        <f>+U63*0.3048</f>
        <v>87.215472000000005</v>
      </c>
      <c r="W63" s="84" t="s">
        <v>18</v>
      </c>
      <c r="X63" s="84" t="s">
        <v>18</v>
      </c>
      <c r="Y63" s="14"/>
    </row>
    <row r="64" spans="1:27" ht="14" thickBot="1" x14ac:dyDescent="0.2">
      <c r="A64" s="42" t="s">
        <v>68</v>
      </c>
      <c r="B64" s="67"/>
      <c r="C64" s="67"/>
      <c r="D64" s="67"/>
      <c r="E64" s="575">
        <f>+E37+E44+E52+E57+E63</f>
        <v>9431.0061616346702</v>
      </c>
      <c r="F64" s="576">
        <f>+E64*0.3048</f>
        <v>2874.5706780662476</v>
      </c>
      <c r="G64" s="575"/>
      <c r="H64" s="575"/>
      <c r="I64" s="575" t="s">
        <v>18</v>
      </c>
      <c r="J64" s="575">
        <f>+J37+J44+J52+J57+J63</f>
        <v>515.44595847920004</v>
      </c>
      <c r="K64" s="576">
        <f>+J64*0.3048</f>
        <v>157.10792814446017</v>
      </c>
      <c r="L64" s="575"/>
      <c r="M64" s="575">
        <f>+M37+M44+M52+M57+M63</f>
        <v>384.89782510550998</v>
      </c>
      <c r="N64" s="576">
        <f>+M64*0.3048</f>
        <v>117.31685709215945</v>
      </c>
      <c r="O64" s="67"/>
      <c r="P64" s="67"/>
      <c r="Q64" s="67"/>
      <c r="R64" s="67"/>
      <c r="S64" s="575">
        <f>+S37+S44+S52+S57+S63</f>
        <v>63.293750000000003</v>
      </c>
      <c r="T64" s="576">
        <f>+S64*0.3048</f>
        <v>19.291935000000002</v>
      </c>
      <c r="U64" s="575">
        <f>+U37+U44+U52+U57+U63</f>
        <v>1372.2266099999997</v>
      </c>
      <c r="V64" s="576">
        <f>+U64*0.3048</f>
        <v>418.25467072799995</v>
      </c>
      <c r="W64" s="856" t="s">
        <v>18</v>
      </c>
      <c r="X64" s="576"/>
      <c r="Y64" s="14"/>
    </row>
    <row r="65" spans="1:33" x14ac:dyDescent="0.15">
      <c r="A65" t="s">
        <v>18</v>
      </c>
      <c r="O65" s="80" t="s">
        <v>76</v>
      </c>
      <c r="P65" s="14">
        <v>3</v>
      </c>
      <c r="Q65" s="14">
        <v>2126</v>
      </c>
      <c r="R65" s="14">
        <v>0.9</v>
      </c>
      <c r="S65" s="38">
        <f>+P65*Q65*R65</f>
        <v>5740.2</v>
      </c>
      <c r="T65" s="172">
        <f>+S65*0.3048</f>
        <v>1749.6129599999999</v>
      </c>
      <c r="V65" s="855" t="s">
        <v>18</v>
      </c>
      <c r="W65" s="62" t="s">
        <v>18</v>
      </c>
      <c r="X65" s="62" t="s">
        <v>18</v>
      </c>
      <c r="Y65" s="855" t="s">
        <v>816</v>
      </c>
    </row>
    <row r="66" spans="1:33" ht="14" thickBot="1" x14ac:dyDescent="0.2">
      <c r="E66" t="s">
        <v>18</v>
      </c>
      <c r="G66" t="s">
        <v>18</v>
      </c>
      <c r="I66" t="s">
        <v>18</v>
      </c>
      <c r="O66" s="91" t="s">
        <v>84</v>
      </c>
      <c r="P66" s="14"/>
      <c r="Q66" s="14"/>
      <c r="R66" s="14"/>
      <c r="S66" s="592">
        <f>SUM(S64:S65)</f>
        <v>5803.4937499999996</v>
      </c>
      <c r="T66" s="603">
        <f>+S66*0.3048</f>
        <v>1768.9048949999999</v>
      </c>
      <c r="W66" s="14"/>
      <c r="X66" s="14"/>
      <c r="Y66" s="41"/>
    </row>
    <row r="67" spans="1:33" ht="14" thickBot="1" x14ac:dyDescent="0.2">
      <c r="A67" s="372"/>
      <c r="B67" s="257"/>
      <c r="C67" s="257"/>
      <c r="D67" s="257"/>
      <c r="E67" s="257"/>
      <c r="F67" s="257"/>
      <c r="G67" s="257" t="s">
        <v>18</v>
      </c>
      <c r="H67" s="257"/>
      <c r="I67" s="257" t="s">
        <v>18</v>
      </c>
      <c r="J67" s="257"/>
      <c r="K67" s="257"/>
      <c r="L67" s="257"/>
      <c r="M67" s="257" t="s">
        <v>18</v>
      </c>
      <c r="N67" s="257"/>
      <c r="O67" s="257"/>
      <c r="P67" s="257" t="s">
        <v>18</v>
      </c>
      <c r="Q67" s="257"/>
      <c r="R67" s="340"/>
      <c r="S67" s="340"/>
      <c r="T67" s="340"/>
      <c r="U67" s="340"/>
      <c r="V67" s="257"/>
      <c r="W67" s="257"/>
      <c r="X67" s="373"/>
    </row>
    <row r="68" spans="1:33" x14ac:dyDescent="0.15">
      <c r="A68" s="604" t="s">
        <v>12</v>
      </c>
      <c r="B68" s="84" t="s">
        <v>2</v>
      </c>
      <c r="C68" s="84"/>
      <c r="D68" s="84" t="s">
        <v>6</v>
      </c>
      <c r="E68" s="84"/>
      <c r="F68" s="84" t="s">
        <v>6</v>
      </c>
      <c r="G68" s="84"/>
      <c r="H68" s="84" t="s">
        <v>10</v>
      </c>
      <c r="I68" s="84"/>
      <c r="J68" s="84" t="s">
        <v>77</v>
      </c>
      <c r="K68" s="84" t="s">
        <v>78</v>
      </c>
      <c r="L68" s="84" t="s">
        <v>19</v>
      </c>
      <c r="M68" s="38"/>
      <c r="N68" s="38"/>
      <c r="O68" s="84" t="s">
        <v>24</v>
      </c>
      <c r="P68" s="84" t="s">
        <v>328</v>
      </c>
      <c r="Q68" s="84" t="s">
        <v>38</v>
      </c>
      <c r="R68" s="605" t="s">
        <v>696</v>
      </c>
      <c r="S68" s="606" t="s">
        <v>696</v>
      </c>
      <c r="T68" s="606" t="s">
        <v>696</v>
      </c>
      <c r="U68" s="607" t="s">
        <v>696</v>
      </c>
      <c r="V68" s="38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15">
      <c r="A69" s="608" t="s">
        <v>304</v>
      </c>
      <c r="B69" s="84" t="s">
        <v>3</v>
      </c>
      <c r="C69" s="84"/>
      <c r="D69" s="84" t="s">
        <v>4</v>
      </c>
      <c r="E69" s="84"/>
      <c r="F69" s="84" t="s">
        <v>4</v>
      </c>
      <c r="G69" s="84"/>
      <c r="H69" s="84" t="s">
        <v>9</v>
      </c>
      <c r="I69" s="84"/>
      <c r="J69" s="38"/>
      <c r="K69" s="84"/>
      <c r="L69" s="84" t="s">
        <v>21</v>
      </c>
      <c r="M69" s="84" t="s">
        <v>20</v>
      </c>
      <c r="N69" s="38"/>
      <c r="O69" s="84" t="s">
        <v>25</v>
      </c>
      <c r="P69" s="84" t="s">
        <v>37</v>
      </c>
      <c r="Q69" s="84" t="s">
        <v>40</v>
      </c>
      <c r="R69" s="593" t="s">
        <v>558</v>
      </c>
      <c r="S69" s="462" t="s">
        <v>558</v>
      </c>
      <c r="T69" s="462" t="s">
        <v>559</v>
      </c>
      <c r="U69" s="609" t="s">
        <v>559</v>
      </c>
      <c r="V69" s="38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ht="14" thickBot="1" x14ac:dyDescent="0.2">
      <c r="A70" s="610"/>
      <c r="B70" s="84"/>
      <c r="C70" s="84"/>
      <c r="D70" s="84" t="s">
        <v>5</v>
      </c>
      <c r="E70" s="84"/>
      <c r="F70" s="84" t="s">
        <v>7</v>
      </c>
      <c r="G70" s="84"/>
      <c r="H70" s="84"/>
      <c r="I70" s="84"/>
      <c r="J70" s="84"/>
      <c r="K70" s="84"/>
      <c r="L70" s="38"/>
      <c r="M70" s="38"/>
      <c r="N70" s="38"/>
      <c r="O70" s="38"/>
      <c r="P70" s="38"/>
      <c r="Q70" s="38"/>
      <c r="R70" s="568"/>
      <c r="S70" s="174"/>
      <c r="T70" s="174"/>
      <c r="U70" s="198"/>
      <c r="V70" s="38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ht="14" thickBot="1" x14ac:dyDescent="0.2">
      <c r="A71" s="611" t="s">
        <v>13</v>
      </c>
      <c r="B71" s="612" t="s">
        <v>16</v>
      </c>
      <c r="C71" s="612" t="s">
        <v>17</v>
      </c>
      <c r="D71" s="612" t="s">
        <v>16</v>
      </c>
      <c r="E71" s="612" t="s">
        <v>17</v>
      </c>
      <c r="F71" s="612" t="s">
        <v>16</v>
      </c>
      <c r="G71" s="612" t="s">
        <v>17</v>
      </c>
      <c r="H71" s="612" t="s">
        <v>16</v>
      </c>
      <c r="I71" s="612" t="s">
        <v>17</v>
      </c>
      <c r="J71" s="612" t="s">
        <v>79</v>
      </c>
      <c r="K71" s="612" t="s">
        <v>80</v>
      </c>
      <c r="L71" s="295"/>
      <c r="M71" s="295"/>
      <c r="N71" s="295"/>
      <c r="O71" s="295"/>
      <c r="P71" s="295"/>
      <c r="Q71" s="613"/>
      <c r="R71" s="614" t="s">
        <v>16</v>
      </c>
      <c r="S71" s="270" t="s">
        <v>17</v>
      </c>
      <c r="T71" s="270" t="s">
        <v>16</v>
      </c>
      <c r="U71" s="615" t="s">
        <v>17</v>
      </c>
      <c r="V71" s="38"/>
      <c r="W71" s="3"/>
      <c r="X71" s="40" t="s">
        <v>18</v>
      </c>
      <c r="Y71" s="3"/>
      <c r="Z71" s="3"/>
      <c r="AA71" s="3"/>
      <c r="AB71" s="3"/>
      <c r="AC71" s="3"/>
      <c r="AD71" s="3"/>
      <c r="AE71" s="3"/>
      <c r="AF71" s="3"/>
      <c r="AG71" s="3"/>
    </row>
    <row r="72" spans="1:33" x14ac:dyDescent="0.15">
      <c r="A72" s="616" t="s">
        <v>307</v>
      </c>
      <c r="B72" s="78">
        <v>10410.83656125</v>
      </c>
      <c r="C72" s="3">
        <v>3173.222983869</v>
      </c>
      <c r="D72" s="3">
        <v>432.35246065000001</v>
      </c>
      <c r="E72" s="3">
        <v>131.78103000612001</v>
      </c>
      <c r="F72" s="3"/>
      <c r="G72" s="3"/>
      <c r="H72" s="3"/>
      <c r="I72" s="3" t="s">
        <v>18</v>
      </c>
      <c r="J72" s="3"/>
      <c r="K72" s="3"/>
      <c r="L72" s="3">
        <v>1</v>
      </c>
      <c r="M72" s="3"/>
      <c r="N72" s="3"/>
      <c r="O72" s="3"/>
      <c r="P72" s="3">
        <v>1</v>
      </c>
      <c r="Q72" s="3"/>
      <c r="R72" s="208"/>
      <c r="S72" s="78"/>
      <c r="T72" s="78"/>
      <c r="U72" s="194"/>
      <c r="V72" s="113" t="s">
        <v>18</v>
      </c>
      <c r="W72" s="40" t="s">
        <v>18</v>
      </c>
      <c r="X72" s="40" t="s">
        <v>18</v>
      </c>
      <c r="Y72" s="3"/>
      <c r="Z72" s="3"/>
      <c r="AA72" s="3"/>
      <c r="AB72" s="3"/>
      <c r="AC72" s="3"/>
      <c r="AD72" s="3"/>
      <c r="AE72" s="3"/>
      <c r="AF72" s="3"/>
      <c r="AG72" s="3"/>
    </row>
    <row r="73" spans="1:33" x14ac:dyDescent="0.15">
      <c r="A73" s="617" t="s">
        <v>243</v>
      </c>
      <c r="B73" s="38"/>
      <c r="C73" s="3"/>
      <c r="D73" s="3"/>
      <c r="E73" s="3"/>
      <c r="F73" s="3"/>
      <c r="G73" s="3"/>
      <c r="H73" s="40" t="s">
        <v>18</v>
      </c>
      <c r="I73" s="3" t="s">
        <v>18</v>
      </c>
      <c r="J73" s="3" t="s">
        <v>81</v>
      </c>
      <c r="K73" s="3"/>
      <c r="L73" s="3"/>
      <c r="M73" s="3"/>
      <c r="N73" s="3"/>
      <c r="O73" s="3"/>
      <c r="P73" s="3"/>
      <c r="Q73" s="3"/>
      <c r="R73" s="262">
        <v>267.89999999999998</v>
      </c>
      <c r="S73" s="38">
        <f>+R73*0.3048</f>
        <v>81.655919999999995</v>
      </c>
      <c r="T73" s="38">
        <v>0</v>
      </c>
      <c r="U73" s="172">
        <f>+T73*0.3048</f>
        <v>0</v>
      </c>
      <c r="V73" s="38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x14ac:dyDescent="0.15">
      <c r="A74" s="617" t="s">
        <v>315</v>
      </c>
      <c r="B74" s="38">
        <v>4712.3169374526506</v>
      </c>
      <c r="C74" s="3">
        <v>1436.3142025355678</v>
      </c>
      <c r="D74" s="3">
        <v>2132.5352300999998</v>
      </c>
      <c r="E74" s="3">
        <v>649.99673813447998</v>
      </c>
      <c r="F74" s="3"/>
      <c r="G74" s="3"/>
      <c r="H74" s="3"/>
      <c r="I74" s="3" t="s">
        <v>18</v>
      </c>
      <c r="J74" s="3"/>
      <c r="K74" s="40" t="s">
        <v>18</v>
      </c>
      <c r="L74" s="3">
        <v>2</v>
      </c>
      <c r="M74" s="3"/>
      <c r="N74" s="3" t="s">
        <v>18</v>
      </c>
      <c r="O74" s="3"/>
      <c r="P74" s="3"/>
      <c r="Q74" s="3"/>
      <c r="R74" s="262" t="s">
        <v>18</v>
      </c>
      <c r="S74" s="38"/>
      <c r="T74" s="38"/>
      <c r="U74" s="172"/>
      <c r="V74" s="38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x14ac:dyDescent="0.15">
      <c r="A75" s="617" t="s">
        <v>244</v>
      </c>
      <c r="B75" s="38"/>
      <c r="C75" s="3"/>
      <c r="D75" s="3"/>
      <c r="E75" s="3"/>
      <c r="F75" s="3"/>
      <c r="G75" s="40" t="s">
        <v>18</v>
      </c>
      <c r="H75" s="3"/>
      <c r="I75" s="3" t="s">
        <v>18</v>
      </c>
      <c r="J75" s="3" t="s">
        <v>81</v>
      </c>
      <c r="K75" s="3"/>
      <c r="L75" s="3"/>
      <c r="M75" s="3"/>
      <c r="N75" s="3"/>
      <c r="O75" s="3"/>
      <c r="P75" s="3"/>
      <c r="Q75" s="3" t="s">
        <v>18</v>
      </c>
      <c r="R75" s="262">
        <v>581.4</v>
      </c>
      <c r="S75" s="38">
        <f>+R75*0.3048</f>
        <v>177.21072000000001</v>
      </c>
      <c r="T75" s="38">
        <v>0</v>
      </c>
      <c r="U75" s="172">
        <f>+T75*0.3048</f>
        <v>0</v>
      </c>
      <c r="V75" s="38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x14ac:dyDescent="0.15">
      <c r="A76" s="617" t="s">
        <v>308</v>
      </c>
      <c r="B76" s="38">
        <v>5269.7487981256299</v>
      </c>
      <c r="C76" s="3">
        <v>1606.2194336686921</v>
      </c>
      <c r="D76" s="3">
        <v>2128.1945450130002</v>
      </c>
      <c r="E76" s="3">
        <v>648.67369731996246</v>
      </c>
      <c r="F76" s="3"/>
      <c r="G76" s="3"/>
      <c r="H76" s="3"/>
      <c r="I76" s="3" t="s">
        <v>18</v>
      </c>
      <c r="J76" s="3"/>
      <c r="K76" s="40" t="s">
        <v>313</v>
      </c>
      <c r="L76" s="3">
        <v>3</v>
      </c>
      <c r="M76" s="3"/>
      <c r="N76" s="3"/>
      <c r="O76" s="3">
        <v>6</v>
      </c>
      <c r="P76" s="3">
        <v>1</v>
      </c>
      <c r="Q76" s="3"/>
      <c r="R76" s="211"/>
      <c r="S76" s="38"/>
      <c r="T76" s="38"/>
      <c r="U76" s="172"/>
      <c r="V76" s="113" t="s">
        <v>18</v>
      </c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ht="14" thickBot="1" x14ac:dyDescent="0.2">
      <c r="A77" s="617" t="s">
        <v>245</v>
      </c>
      <c r="B77" s="3"/>
      <c r="C77" s="3" t="s">
        <v>18</v>
      </c>
      <c r="D77" s="3"/>
      <c r="E77" s="3"/>
      <c r="F77" s="3"/>
      <c r="G77" s="40" t="s">
        <v>18</v>
      </c>
      <c r="H77" s="3" t="s">
        <v>18</v>
      </c>
      <c r="I77" s="3"/>
      <c r="J77" s="3" t="s">
        <v>81</v>
      </c>
      <c r="K77" s="3"/>
      <c r="L77" s="3"/>
      <c r="M77" s="3"/>
      <c r="N77" s="3"/>
      <c r="O77" s="3"/>
      <c r="P77" s="3"/>
      <c r="Q77" s="3"/>
      <c r="R77" s="211">
        <v>893.6</v>
      </c>
      <c r="S77" s="38">
        <f>+R77*0.3048</f>
        <v>272.36928</v>
      </c>
      <c r="T77" s="38">
        <v>0</v>
      </c>
      <c r="U77" s="172">
        <f>+T77*0.3048</f>
        <v>0</v>
      </c>
      <c r="V77" s="38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ht="14" thickBot="1" x14ac:dyDescent="0.2">
      <c r="A78" s="610" t="s">
        <v>68</v>
      </c>
      <c r="B78" s="590">
        <f>SUM(B72:B76)</f>
        <v>20392.902296828281</v>
      </c>
      <c r="C78" s="575">
        <f>SUM(C72:C76)</f>
        <v>6215.7566200732599</v>
      </c>
      <c r="D78" s="575">
        <f>SUM(D72:D76)</f>
        <v>4693.0822357630004</v>
      </c>
      <c r="E78" s="575">
        <f>SUM(E72:E76)</f>
        <v>1430.4514654605623</v>
      </c>
      <c r="F78" s="588">
        <v>0</v>
      </c>
      <c r="G78" s="588">
        <v>0</v>
      </c>
      <c r="H78" s="575">
        <f>+U105</f>
        <v>2282</v>
      </c>
      <c r="I78" s="575">
        <f>+V105</f>
        <v>695.55360000000007</v>
      </c>
      <c r="J78" s="128"/>
      <c r="K78" s="128" t="s">
        <v>18</v>
      </c>
      <c r="L78" s="575">
        <f>SUM(L72:L77)</f>
        <v>6</v>
      </c>
      <c r="M78" s="128"/>
      <c r="N78" s="128"/>
      <c r="O78" s="575">
        <f>SUM(O72:O77)</f>
        <v>6</v>
      </c>
      <c r="P78" s="575">
        <f>SUM(P72:P77)</f>
        <v>2</v>
      </c>
      <c r="Q78" s="587"/>
      <c r="R78" s="590">
        <f>SUM(R73:R77)</f>
        <v>1742.9</v>
      </c>
      <c r="S78" s="575">
        <f>SUM(S73:S77)</f>
        <v>531.23592000000008</v>
      </c>
      <c r="T78" s="575">
        <f>SUM(T73:T77)</f>
        <v>0</v>
      </c>
      <c r="U78" s="576">
        <f>SUM(U73:U77)</f>
        <v>0</v>
      </c>
      <c r="V78" s="38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ht="14" thickBot="1" x14ac:dyDescent="0.2">
      <c r="A79" s="618" t="s">
        <v>286</v>
      </c>
      <c r="B79" s="619"/>
      <c r="C79" s="139"/>
      <c r="D79" s="139"/>
      <c r="E79" s="139"/>
      <c r="F79" s="584">
        <f>+D78+F78</f>
        <v>4693.0822357630004</v>
      </c>
      <c r="G79" s="584">
        <f>+E78+G78</f>
        <v>1430.4514654605623</v>
      </c>
      <c r="H79" s="138"/>
      <c r="I79" s="138"/>
      <c r="J79" s="139"/>
      <c r="K79" s="139"/>
      <c r="L79" s="3"/>
      <c r="M79" s="139"/>
      <c r="N79" s="139"/>
      <c r="O79" s="3"/>
      <c r="P79" s="3"/>
      <c r="Q79" s="620"/>
      <c r="R79" s="208"/>
      <c r="S79" s="78"/>
      <c r="T79" s="78"/>
      <c r="U79" s="194"/>
      <c r="V79" s="38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ht="14" thickBot="1" x14ac:dyDescent="0.2">
      <c r="A80" s="621" t="s">
        <v>319</v>
      </c>
      <c r="B80" s="295"/>
      <c r="C80" s="295"/>
      <c r="D80" s="295"/>
      <c r="E80" s="295"/>
      <c r="F80" s="296" t="s">
        <v>18</v>
      </c>
      <c r="G80" s="295"/>
      <c r="H80" s="295"/>
      <c r="I80" s="295"/>
      <c r="J80" s="295" t="s">
        <v>331</v>
      </c>
      <c r="K80" s="295"/>
      <c r="L80" s="296" t="s">
        <v>318</v>
      </c>
      <c r="M80" s="295"/>
      <c r="N80" s="295"/>
      <c r="O80" s="295"/>
      <c r="P80" s="295" t="s">
        <v>329</v>
      </c>
      <c r="Q80" s="613"/>
      <c r="R80" s="568"/>
      <c r="S80" s="174"/>
      <c r="T80" s="174"/>
      <c r="U80" s="198"/>
      <c r="V80" s="38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ht="14" thickBot="1" x14ac:dyDescent="0.2">
      <c r="A81" s="462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113"/>
      <c r="M81" s="38"/>
      <c r="N81" s="38"/>
      <c r="O81" s="38"/>
      <c r="P81" s="38"/>
      <c r="Q81" s="38"/>
      <c r="R81" s="3"/>
      <c r="S81" s="3"/>
      <c r="T81" s="3"/>
      <c r="U81" s="38"/>
      <c r="V81" s="38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x14ac:dyDescent="0.15">
      <c r="A82" s="622"/>
      <c r="B82" s="618" t="s">
        <v>49</v>
      </c>
      <c r="C82" s="564"/>
      <c r="D82" s="564"/>
      <c r="E82" s="564" t="s">
        <v>18</v>
      </c>
      <c r="F82" s="564"/>
      <c r="G82" s="564" t="s">
        <v>18</v>
      </c>
      <c r="H82" s="564" t="s">
        <v>50</v>
      </c>
      <c r="I82" s="564"/>
      <c r="J82" s="564"/>
      <c r="K82" s="564"/>
      <c r="L82" s="78"/>
      <c r="M82" s="564"/>
      <c r="N82" s="564"/>
      <c r="O82" s="564" t="s">
        <v>57</v>
      </c>
      <c r="P82" s="564" t="s">
        <v>51</v>
      </c>
      <c r="Q82" s="564"/>
      <c r="R82" s="78"/>
      <c r="S82" s="78"/>
      <c r="T82" s="78"/>
      <c r="U82" s="564" t="s">
        <v>8</v>
      </c>
      <c r="V82" s="78"/>
      <c r="W82" s="564" t="s">
        <v>330</v>
      </c>
      <c r="X82" s="194"/>
      <c r="Y82" s="38"/>
      <c r="Z82" s="3"/>
      <c r="AA82" s="3"/>
      <c r="AB82" s="3"/>
      <c r="AC82" s="3"/>
      <c r="AD82" s="3"/>
      <c r="AE82" s="3"/>
      <c r="AF82" s="3"/>
      <c r="AG82" s="3"/>
    </row>
    <row r="83" spans="1:33" ht="14" thickBot="1" x14ac:dyDescent="0.2">
      <c r="A83" s="623"/>
      <c r="B83" s="614"/>
      <c r="C83" s="270"/>
      <c r="D83" s="270"/>
      <c r="E83" s="270"/>
      <c r="F83" s="270"/>
      <c r="G83" s="270"/>
      <c r="H83" s="270"/>
      <c r="I83" s="270"/>
      <c r="J83" s="270"/>
      <c r="K83" s="270"/>
      <c r="L83" s="174"/>
      <c r="M83" s="270"/>
      <c r="N83" s="270"/>
      <c r="O83" s="270"/>
      <c r="P83" s="270"/>
      <c r="Q83" s="270"/>
      <c r="R83" s="174"/>
      <c r="S83" s="174"/>
      <c r="T83" s="174"/>
      <c r="U83" s="270"/>
      <c r="V83" s="174"/>
      <c r="W83" s="174"/>
      <c r="X83" s="198"/>
      <c r="Y83" s="38"/>
      <c r="Z83" s="3"/>
      <c r="AA83" s="3"/>
      <c r="AB83" s="3"/>
      <c r="AC83" s="3"/>
      <c r="AD83" s="3"/>
      <c r="AE83" s="3"/>
      <c r="AF83" s="3"/>
      <c r="AG83" s="3"/>
    </row>
    <row r="84" spans="1:33" ht="15" x14ac:dyDescent="0.15">
      <c r="A84" s="618" t="s">
        <v>700</v>
      </c>
      <c r="B84" s="624" t="s">
        <v>26</v>
      </c>
      <c r="C84" s="625" t="s">
        <v>27</v>
      </c>
      <c r="D84" s="564" t="s">
        <v>32</v>
      </c>
      <c r="E84" s="625" t="s">
        <v>698</v>
      </c>
      <c r="F84" s="50"/>
      <c r="G84" s="625" t="s">
        <v>28</v>
      </c>
      <c r="H84" s="625" t="s">
        <v>29</v>
      </c>
      <c r="I84" s="625" t="s">
        <v>30</v>
      </c>
      <c r="J84" s="625" t="s">
        <v>31</v>
      </c>
      <c r="K84" s="625" t="s">
        <v>31</v>
      </c>
      <c r="L84" s="625" t="s">
        <v>32</v>
      </c>
      <c r="M84" s="625" t="s">
        <v>31</v>
      </c>
      <c r="N84" s="625" t="s">
        <v>31</v>
      </c>
      <c r="O84" s="625" t="s">
        <v>28</v>
      </c>
      <c r="P84" s="625" t="s">
        <v>29</v>
      </c>
      <c r="Q84" s="625" t="s">
        <v>30</v>
      </c>
      <c r="R84" s="625" t="s">
        <v>32</v>
      </c>
      <c r="S84" s="625" t="s">
        <v>31</v>
      </c>
      <c r="T84" s="625" t="s">
        <v>31</v>
      </c>
      <c r="U84" s="50"/>
      <c r="V84" s="50"/>
      <c r="W84" s="50"/>
      <c r="X84" s="83"/>
      <c r="Y84" s="38"/>
      <c r="Z84" s="3"/>
      <c r="AA84" s="3"/>
      <c r="AB84" s="3"/>
      <c r="AC84" s="3"/>
      <c r="AD84" s="3"/>
      <c r="AE84" s="3"/>
      <c r="AF84" s="3"/>
      <c r="AG84" s="3"/>
    </row>
    <row r="85" spans="1:33" ht="14" thickBot="1" x14ac:dyDescent="0.2">
      <c r="A85" s="627" t="s">
        <v>304</v>
      </c>
      <c r="B85" s="568"/>
      <c r="C85" s="174"/>
      <c r="D85" s="270" t="s">
        <v>33</v>
      </c>
      <c r="E85" s="174">
        <v>3.1415899999999999</v>
      </c>
      <c r="F85" s="174"/>
      <c r="G85" s="174"/>
      <c r="H85" s="628"/>
      <c r="I85" s="628"/>
      <c r="J85" s="34"/>
      <c r="K85" s="34"/>
      <c r="L85" s="629" t="s">
        <v>33</v>
      </c>
      <c r="M85" s="34"/>
      <c r="N85" s="34"/>
      <c r="O85" s="174"/>
      <c r="P85" s="628"/>
      <c r="Q85" s="628"/>
      <c r="R85" s="629" t="s">
        <v>33</v>
      </c>
      <c r="S85" s="34"/>
      <c r="T85" s="34"/>
      <c r="U85" s="174"/>
      <c r="V85" s="174"/>
      <c r="W85" s="174"/>
      <c r="X85" s="198"/>
      <c r="Y85" s="38"/>
      <c r="Z85" s="3"/>
      <c r="AA85" s="3"/>
      <c r="AB85" s="3"/>
      <c r="AC85" s="3"/>
      <c r="AD85" s="3"/>
      <c r="AE85" s="3"/>
      <c r="AF85" s="3"/>
      <c r="AG85" s="3"/>
    </row>
    <row r="86" spans="1:33" ht="14" thickBot="1" x14ac:dyDescent="0.2">
      <c r="A86" s="611" t="s">
        <v>309</v>
      </c>
      <c r="B86" s="469"/>
      <c r="C86" s="295"/>
      <c r="D86" s="295"/>
      <c r="E86" s="653" t="s">
        <v>16</v>
      </c>
      <c r="F86" s="653" t="s">
        <v>17</v>
      </c>
      <c r="G86" s="295"/>
      <c r="H86" s="295"/>
      <c r="I86" s="295"/>
      <c r="J86" s="653" t="s">
        <v>16</v>
      </c>
      <c r="K86" s="653" t="s">
        <v>17</v>
      </c>
      <c r="L86" s="295"/>
      <c r="M86" s="653" t="s">
        <v>16</v>
      </c>
      <c r="N86" s="653" t="s">
        <v>17</v>
      </c>
      <c r="O86" s="295"/>
      <c r="P86" s="295"/>
      <c r="Q86" s="295"/>
      <c r="R86" s="295"/>
      <c r="S86" s="653" t="s">
        <v>16</v>
      </c>
      <c r="T86" s="653" t="s">
        <v>17</v>
      </c>
      <c r="U86" s="653" t="s">
        <v>16</v>
      </c>
      <c r="V86" s="653" t="s">
        <v>17</v>
      </c>
      <c r="W86" s="653" t="s">
        <v>16</v>
      </c>
      <c r="X86" s="655" t="s">
        <v>17</v>
      </c>
      <c r="Y86" s="38"/>
      <c r="Z86" s="3"/>
      <c r="AA86" s="3"/>
      <c r="AB86" s="3"/>
      <c r="AC86" s="3"/>
      <c r="AD86" s="3"/>
      <c r="AE86" s="3"/>
      <c r="AF86" s="3"/>
      <c r="AG86" s="3"/>
    </row>
    <row r="87" spans="1:33" x14ac:dyDescent="0.15">
      <c r="A87" s="630">
        <v>6</v>
      </c>
      <c r="B87" s="211">
        <v>4.75</v>
      </c>
      <c r="C87" s="38">
        <f>+B87*B87</f>
        <v>22.5625</v>
      </c>
      <c r="D87" s="38">
        <v>1</v>
      </c>
      <c r="E87" s="38">
        <f>+C87*3.14159*A87*D87</f>
        <v>425.29274625000005</v>
      </c>
      <c r="F87" s="38">
        <f>+E87*0.3048</f>
        <v>129.62922905700003</v>
      </c>
      <c r="G87" s="38">
        <v>6</v>
      </c>
      <c r="H87" s="38">
        <v>6.1669999999999998</v>
      </c>
      <c r="I87" s="38">
        <v>6.1669999999999998</v>
      </c>
      <c r="J87" s="38">
        <f>+G87*H87*I87</f>
        <v>228.19133399999996</v>
      </c>
      <c r="K87" s="38">
        <f>+J87*0.3048</f>
        <v>69.552718603199992</v>
      </c>
      <c r="L87" s="38">
        <v>0.35</v>
      </c>
      <c r="M87" s="38">
        <f>+G87*H87*I87*L87</f>
        <v>79.86696689999998</v>
      </c>
      <c r="N87" s="38">
        <f>+M87*0.3048</f>
        <v>24.343451511119994</v>
      </c>
      <c r="O87" s="38"/>
      <c r="P87" s="38"/>
      <c r="Q87" s="38"/>
      <c r="R87" s="38"/>
      <c r="S87" s="38" t="s">
        <v>18</v>
      </c>
      <c r="T87" s="38" t="s">
        <v>18</v>
      </c>
      <c r="U87" s="38"/>
      <c r="V87" s="38"/>
      <c r="W87" s="38"/>
      <c r="X87" s="172"/>
      <c r="Y87" s="38"/>
      <c r="Z87" s="3"/>
      <c r="AA87" s="3"/>
      <c r="AB87" s="3"/>
      <c r="AC87" s="3"/>
      <c r="AD87" s="3"/>
      <c r="AE87" s="3"/>
      <c r="AF87" s="3"/>
      <c r="AG87" s="3"/>
    </row>
    <row r="88" spans="1:33" x14ac:dyDescent="0.15">
      <c r="A88" s="617" t="s">
        <v>18</v>
      </c>
      <c r="B88" s="211"/>
      <c r="C88" s="38"/>
      <c r="D88" s="38" t="s">
        <v>18</v>
      </c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172"/>
      <c r="Y88" s="38"/>
      <c r="Z88" s="3"/>
      <c r="AA88" s="3"/>
      <c r="AB88" s="3"/>
      <c r="AC88" s="3"/>
      <c r="AD88" s="3"/>
      <c r="AE88" s="3"/>
      <c r="AF88" s="3"/>
      <c r="AG88" s="3"/>
    </row>
    <row r="89" spans="1:33" x14ac:dyDescent="0.15">
      <c r="A89" s="130">
        <v>26</v>
      </c>
      <c r="B89" s="211">
        <v>9.5</v>
      </c>
      <c r="C89" s="38">
        <f>+B89*B89</f>
        <v>90.25</v>
      </c>
      <c r="D89" s="38">
        <v>1</v>
      </c>
      <c r="E89" s="38">
        <f>+C89*3.14159*A89*D89</f>
        <v>7371.7409350000007</v>
      </c>
      <c r="F89" s="38">
        <f>+E89*0.3048</f>
        <v>2246.9066369880002</v>
      </c>
      <c r="G89" s="38">
        <v>26</v>
      </c>
      <c r="H89" s="38">
        <v>8</v>
      </c>
      <c r="I89" s="38">
        <v>8</v>
      </c>
      <c r="J89" s="38">
        <f>+G89*H89*I89</f>
        <v>1664</v>
      </c>
      <c r="K89" s="38">
        <f>+J89*0.3048</f>
        <v>507.18720000000002</v>
      </c>
      <c r="L89" s="38">
        <v>8.2957610937500009E-2</v>
      </c>
      <c r="M89" s="38">
        <f>+G89*H89*I89*L89</f>
        <v>138.04146460000001</v>
      </c>
      <c r="N89" s="38">
        <f>+M89*0.3048</f>
        <v>42.075038410080005</v>
      </c>
      <c r="O89" s="38"/>
      <c r="P89" s="38"/>
      <c r="Q89" s="38"/>
      <c r="R89" s="38"/>
      <c r="S89" s="38"/>
      <c r="T89" s="38"/>
      <c r="U89" s="38"/>
      <c r="V89" s="38"/>
      <c r="W89" s="38"/>
      <c r="X89" s="172"/>
      <c r="Y89" s="38"/>
      <c r="Z89" s="3"/>
      <c r="AA89" s="3"/>
      <c r="AB89" s="3"/>
      <c r="AC89" s="3"/>
      <c r="AD89" s="3"/>
      <c r="AE89" s="3"/>
      <c r="AF89" s="3"/>
      <c r="AG89" s="3"/>
    </row>
    <row r="90" spans="1:33" x14ac:dyDescent="0.15">
      <c r="A90" s="129" t="s">
        <v>18</v>
      </c>
      <c r="B90" s="211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172"/>
      <c r="Y90" s="38"/>
      <c r="Z90" s="3"/>
      <c r="AA90" s="3"/>
      <c r="AB90" s="3"/>
      <c r="AC90" s="3"/>
      <c r="AD90" s="3"/>
      <c r="AE90" s="3"/>
      <c r="AF90" s="3"/>
      <c r="AG90" s="3"/>
    </row>
    <row r="91" spans="1:33" x14ac:dyDescent="0.15">
      <c r="A91" s="130">
        <v>13</v>
      </c>
      <c r="B91" s="211">
        <v>8</v>
      </c>
      <c r="C91" s="38">
        <f>+B91*B91</f>
        <v>64</v>
      </c>
      <c r="D91" s="38">
        <v>1</v>
      </c>
      <c r="E91" s="38">
        <f>+C91*3.14159*A91*D91</f>
        <v>2613.8028799999997</v>
      </c>
      <c r="F91" s="38">
        <f>+E91*0.3048</f>
        <v>796.68711782399998</v>
      </c>
      <c r="G91" s="38">
        <v>13</v>
      </c>
      <c r="H91" s="38">
        <v>4.1669999999999998</v>
      </c>
      <c r="I91" s="38">
        <v>4.1669999999999998</v>
      </c>
      <c r="J91" s="38">
        <f>+G91*H91*I91</f>
        <v>225.73055699999998</v>
      </c>
      <c r="K91" s="38">
        <f>+J91*0.3048</f>
        <v>68.802673773599992</v>
      </c>
      <c r="L91" s="38">
        <v>0.95</v>
      </c>
      <c r="M91" s="38">
        <f>+G91*H91*I91*L91</f>
        <v>214.44402914999998</v>
      </c>
      <c r="N91" s="38">
        <f>+M91*0.3048</f>
        <v>65.362540084919999</v>
      </c>
      <c r="O91" s="38"/>
      <c r="P91" s="38"/>
      <c r="Q91" s="38"/>
      <c r="R91" s="38"/>
      <c r="S91" s="38"/>
      <c r="T91" s="38"/>
      <c r="U91" s="113" t="s">
        <v>18</v>
      </c>
      <c r="V91" s="38"/>
      <c r="W91" s="38"/>
      <c r="X91" s="172"/>
      <c r="Y91" s="38"/>
      <c r="Z91" s="40" t="s">
        <v>18</v>
      </c>
      <c r="AA91" s="3"/>
      <c r="AB91" s="3"/>
      <c r="AC91" s="3"/>
      <c r="AD91" s="3"/>
      <c r="AE91" s="3"/>
      <c r="AF91" s="3"/>
      <c r="AG91" s="3"/>
    </row>
    <row r="92" spans="1:33" ht="14" thickBot="1" x14ac:dyDescent="0.2">
      <c r="A92" s="130"/>
      <c r="B92" s="211"/>
      <c r="C92" s="38"/>
      <c r="D92" s="38"/>
      <c r="E92" s="84">
        <f>SUM(E87:E91)</f>
        <v>10410.83656125</v>
      </c>
      <c r="F92" s="84">
        <f>SUM(F87:F91)</f>
        <v>3173.222983869</v>
      </c>
      <c r="G92" s="38"/>
      <c r="H92" s="38"/>
      <c r="I92" s="38"/>
      <c r="J92" s="84">
        <f>SUM(J87:J91)</f>
        <v>2117.921891</v>
      </c>
      <c r="K92" s="84">
        <f>SUM(K87:K91)</f>
        <v>645.54259237680003</v>
      </c>
      <c r="L92" s="38"/>
      <c r="M92" s="84">
        <f>SUM(M87:M91)</f>
        <v>432.35246065000001</v>
      </c>
      <c r="N92" s="84">
        <f>SUM(N87:N91)</f>
        <v>131.78103000612001</v>
      </c>
      <c r="O92" s="38"/>
      <c r="P92" s="38"/>
      <c r="Q92" s="113" t="s">
        <v>18</v>
      </c>
      <c r="R92" s="38"/>
      <c r="S92" s="38"/>
      <c r="T92" s="38"/>
      <c r="U92" s="38"/>
      <c r="V92" s="38"/>
      <c r="W92" s="38"/>
      <c r="X92" s="172"/>
      <c r="Y92" s="38"/>
      <c r="Z92" s="3"/>
      <c r="AA92" s="3"/>
      <c r="AB92" s="3"/>
      <c r="AC92" s="3"/>
      <c r="AD92" s="3"/>
      <c r="AE92" s="3"/>
      <c r="AF92" s="3"/>
      <c r="AG92" s="3"/>
    </row>
    <row r="93" spans="1:33" ht="14" thickBot="1" x14ac:dyDescent="0.2">
      <c r="A93" s="611" t="s">
        <v>312</v>
      </c>
      <c r="B93" s="211"/>
      <c r="C93" s="38"/>
      <c r="D93" s="38"/>
      <c r="E93" s="113" t="s">
        <v>18</v>
      </c>
      <c r="F93" s="38"/>
      <c r="G93" s="113" t="s">
        <v>18</v>
      </c>
      <c r="H93" s="38"/>
      <c r="I93" s="113" t="s">
        <v>18</v>
      </c>
      <c r="J93" s="38"/>
      <c r="K93" s="38"/>
      <c r="L93" s="38"/>
      <c r="M93" s="38"/>
      <c r="N93" s="113" t="s">
        <v>18</v>
      </c>
      <c r="O93" s="38"/>
      <c r="P93" s="38"/>
      <c r="Q93" s="38"/>
      <c r="R93" s="38"/>
      <c r="S93" s="38" t="s">
        <v>18</v>
      </c>
      <c r="T93" s="38"/>
      <c r="U93" s="38"/>
      <c r="V93" s="38"/>
      <c r="W93" s="38"/>
      <c r="X93" s="172"/>
      <c r="Y93" s="38"/>
      <c r="Z93" s="3"/>
      <c r="AA93" s="3"/>
      <c r="AB93" s="3"/>
      <c r="AC93" s="3"/>
      <c r="AD93" s="3"/>
      <c r="AE93" s="3"/>
      <c r="AF93" s="3"/>
      <c r="AG93" s="3"/>
    </row>
    <row r="94" spans="1:33" x14ac:dyDescent="0.15">
      <c r="A94" s="688" t="s">
        <v>18</v>
      </c>
      <c r="B94" s="211"/>
      <c r="C94" s="38"/>
      <c r="D94" s="38"/>
      <c r="E94" s="38"/>
      <c r="F94" s="38"/>
      <c r="G94" s="38" t="s">
        <v>18</v>
      </c>
      <c r="H94" s="38"/>
      <c r="I94" s="38"/>
      <c r="J94" s="38"/>
      <c r="K94" s="38" t="s">
        <v>18</v>
      </c>
      <c r="L94" s="38"/>
      <c r="M94" s="38"/>
      <c r="N94" s="38"/>
      <c r="O94" s="467" t="s">
        <v>18</v>
      </c>
      <c r="P94" s="38"/>
      <c r="Q94" s="38"/>
      <c r="R94" s="38"/>
      <c r="S94" s="38"/>
      <c r="T94" s="38"/>
      <c r="U94" s="38"/>
      <c r="V94" s="38"/>
      <c r="W94" s="38"/>
      <c r="X94" s="172"/>
      <c r="Y94" s="38"/>
      <c r="Z94" s="3"/>
      <c r="AA94" s="3"/>
      <c r="AB94" s="3"/>
      <c r="AC94" s="3"/>
      <c r="AD94" s="3"/>
      <c r="AE94" s="3"/>
      <c r="AF94" s="3"/>
      <c r="AG94" s="3"/>
    </row>
    <row r="95" spans="1:33" x14ac:dyDescent="0.15">
      <c r="A95" s="631">
        <v>15</v>
      </c>
      <c r="B95" s="211">
        <v>6.1669999999999998</v>
      </c>
      <c r="C95" s="38">
        <f>+B95*B95</f>
        <v>38.031889</v>
      </c>
      <c r="D95" s="38">
        <v>1</v>
      </c>
      <c r="E95" s="38">
        <f>+C95*3.14159*A95*D95</f>
        <v>1792.20903245265</v>
      </c>
      <c r="F95" s="38">
        <f>+E95*0.3048</f>
        <v>546.2653130915678</v>
      </c>
      <c r="G95" s="38">
        <v>15</v>
      </c>
      <c r="H95" s="38">
        <v>11</v>
      </c>
      <c r="I95" s="38">
        <v>11.916700000000001</v>
      </c>
      <c r="J95" s="38">
        <f>+G95*H95*I95</f>
        <v>1966.2555</v>
      </c>
      <c r="K95" s="38">
        <f>+J95*0.3048</f>
        <v>599.31467640000005</v>
      </c>
      <c r="L95" s="38">
        <v>0.9</v>
      </c>
      <c r="M95" s="38">
        <f>+G95*H95*I95*L95</f>
        <v>1769.62995</v>
      </c>
      <c r="N95" s="38">
        <f>+M95*0.3048</f>
        <v>539.38320876</v>
      </c>
      <c r="O95" s="38"/>
      <c r="P95" s="38"/>
      <c r="Q95" s="38"/>
      <c r="R95" s="38"/>
      <c r="S95" s="38"/>
      <c r="T95" s="38"/>
      <c r="U95" s="38"/>
      <c r="V95" s="38"/>
      <c r="W95" s="38"/>
      <c r="X95" s="172"/>
      <c r="Y95" s="38"/>
      <c r="Z95" s="3"/>
      <c r="AA95" s="3"/>
      <c r="AB95" s="3"/>
      <c r="AC95" s="3"/>
      <c r="AD95" s="3"/>
      <c r="AE95" s="3"/>
      <c r="AF95" s="3"/>
      <c r="AG95" s="3"/>
    </row>
    <row r="96" spans="1:33" x14ac:dyDescent="0.15">
      <c r="A96" s="130"/>
      <c r="B96" s="211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 t="s">
        <v>18</v>
      </c>
      <c r="O96" s="38"/>
      <c r="P96" s="113" t="s">
        <v>18</v>
      </c>
      <c r="Q96" s="38"/>
      <c r="R96" s="38" t="s">
        <v>18</v>
      </c>
      <c r="S96" s="38"/>
      <c r="T96" s="38"/>
      <c r="U96" s="38"/>
      <c r="V96" s="38"/>
      <c r="W96" s="38"/>
      <c r="X96" s="172"/>
      <c r="Y96" s="38"/>
      <c r="Z96" s="3"/>
      <c r="AA96" s="3" t="s">
        <v>18</v>
      </c>
      <c r="AB96" s="3"/>
      <c r="AC96" s="3"/>
      <c r="AD96" s="3"/>
      <c r="AE96" s="3"/>
      <c r="AF96" s="3"/>
      <c r="AG96" s="3"/>
    </row>
    <row r="97" spans="1:33" x14ac:dyDescent="0.15">
      <c r="A97" s="130">
        <v>22</v>
      </c>
      <c r="B97" s="211">
        <v>6.5</v>
      </c>
      <c r="C97" s="38">
        <f>+B97*B97</f>
        <v>42.25</v>
      </c>
      <c r="D97" s="38">
        <v>1</v>
      </c>
      <c r="E97" s="38">
        <f>+C97*3.14159*A97*D97</f>
        <v>2920.1079050000003</v>
      </c>
      <c r="F97" s="38">
        <f>+E97*0.3048</f>
        <v>890.04888944400011</v>
      </c>
      <c r="G97" s="38">
        <v>22</v>
      </c>
      <c r="H97" s="38">
        <v>4.1669999999999998</v>
      </c>
      <c r="I97" s="38">
        <v>4.1669999999999998</v>
      </c>
      <c r="J97" s="38">
        <f>+G97*H97*I97</f>
        <v>382.00555799999995</v>
      </c>
      <c r="K97" s="38">
        <f>+J97*0.3048</f>
        <v>116.43529407839999</v>
      </c>
      <c r="L97" s="38">
        <v>0.95</v>
      </c>
      <c r="M97" s="38">
        <f>+G97*H97*I97*L97</f>
        <v>362.90528009999991</v>
      </c>
      <c r="N97" s="38">
        <f>+M97*0.3048</f>
        <v>110.61352937447998</v>
      </c>
      <c r="O97" s="113" t="s">
        <v>18</v>
      </c>
      <c r="P97" s="38"/>
      <c r="Q97" s="38"/>
      <c r="R97" s="38"/>
      <c r="S97" s="38"/>
      <c r="T97" s="38"/>
      <c r="U97" s="38"/>
      <c r="V97" s="38"/>
      <c r="W97" s="38"/>
      <c r="X97" s="172"/>
      <c r="Y97" s="38"/>
      <c r="Z97" s="3"/>
      <c r="AA97" s="3"/>
      <c r="AB97" s="3"/>
      <c r="AC97" s="3"/>
      <c r="AD97" s="3"/>
      <c r="AE97" s="3"/>
      <c r="AF97" s="3"/>
      <c r="AG97" s="3"/>
    </row>
    <row r="98" spans="1:33" ht="14" thickBot="1" x14ac:dyDescent="0.2">
      <c r="A98" s="623"/>
      <c r="B98" s="211"/>
      <c r="C98" s="38"/>
      <c r="D98" s="38"/>
      <c r="E98" s="84">
        <f>SUM(E95:E97)</f>
        <v>4712.3169374526506</v>
      </c>
      <c r="F98" s="84">
        <f>SUM(F95:F97)</f>
        <v>1436.3142025355678</v>
      </c>
      <c r="G98" s="38"/>
      <c r="H98" s="38"/>
      <c r="I98" s="38"/>
      <c r="J98" s="84">
        <f>SUM(J95:J97)</f>
        <v>2348.261058</v>
      </c>
      <c r="K98" s="84">
        <f>SUM(K95:K97)</f>
        <v>715.74997047840009</v>
      </c>
      <c r="L98" s="38"/>
      <c r="M98" s="84">
        <f>SUM(M95:M97)</f>
        <v>2132.5352300999998</v>
      </c>
      <c r="N98" s="84">
        <f>SUM(N95:N97)</f>
        <v>649.99673813447998</v>
      </c>
      <c r="O98" s="113"/>
      <c r="P98" s="38"/>
      <c r="Q98" s="38"/>
      <c r="R98" s="38"/>
      <c r="S98" s="38"/>
      <c r="T98" s="38"/>
      <c r="U98" s="38"/>
      <c r="V98" s="38"/>
      <c r="W98" s="38"/>
      <c r="X98" s="172"/>
      <c r="Y98" s="38"/>
      <c r="Z98" s="3"/>
      <c r="AA98" s="3"/>
      <c r="AB98" s="3"/>
      <c r="AC98" s="3"/>
      <c r="AD98" s="3"/>
      <c r="AE98" s="3"/>
      <c r="AF98" s="3"/>
      <c r="AG98" s="3"/>
    </row>
    <row r="99" spans="1:33" ht="14" thickBot="1" x14ac:dyDescent="0.2">
      <c r="A99" s="611" t="s">
        <v>314</v>
      </c>
      <c r="B99" s="211" t="s">
        <v>18</v>
      </c>
      <c r="C99" s="38"/>
      <c r="D99" s="113" t="s">
        <v>18</v>
      </c>
      <c r="E99" s="38" t="s">
        <v>313</v>
      </c>
      <c r="F99" s="38"/>
      <c r="G99" s="113" t="s">
        <v>18</v>
      </c>
      <c r="H99" s="38" t="s">
        <v>18</v>
      </c>
      <c r="I99" s="38" t="s">
        <v>18</v>
      </c>
      <c r="J99" s="113" t="s">
        <v>18</v>
      </c>
      <c r="K99" s="38" t="s">
        <v>18</v>
      </c>
      <c r="L99" s="38" t="s">
        <v>18</v>
      </c>
      <c r="M99" s="38"/>
      <c r="N99" s="38"/>
      <c r="O99" s="38"/>
      <c r="P99" s="38"/>
      <c r="Q99" s="38"/>
      <c r="R99" s="38"/>
      <c r="S99" s="38" t="s">
        <v>18</v>
      </c>
      <c r="T99" s="38"/>
      <c r="U99" s="38"/>
      <c r="V99" s="38"/>
      <c r="W99" s="38"/>
      <c r="X99" s="172"/>
      <c r="Y99" s="38"/>
      <c r="Z99" s="3"/>
      <c r="AA99" s="3"/>
      <c r="AB99" s="3"/>
      <c r="AC99" s="3"/>
      <c r="AD99" s="3"/>
      <c r="AE99" s="3"/>
      <c r="AF99" s="3"/>
      <c r="AG99" s="3"/>
    </row>
    <row r="100" spans="1:33" x14ac:dyDescent="0.15">
      <c r="A100" s="688" t="s">
        <v>18</v>
      </c>
      <c r="B100" s="211"/>
      <c r="C100" s="38"/>
      <c r="D100" s="38"/>
      <c r="E100" s="38" t="s">
        <v>18</v>
      </c>
      <c r="F100" s="38" t="s">
        <v>18</v>
      </c>
      <c r="G100" s="38" t="s">
        <v>18</v>
      </c>
      <c r="H100" s="38" t="s">
        <v>18</v>
      </c>
      <c r="I100" s="38" t="s">
        <v>18</v>
      </c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172"/>
      <c r="Y100" s="38"/>
      <c r="Z100" s="3"/>
      <c r="AA100" s="3"/>
      <c r="AB100" s="3"/>
      <c r="AC100" s="3"/>
      <c r="AD100" s="3"/>
      <c r="AE100" s="3"/>
      <c r="AF100" s="3"/>
      <c r="AG100" s="3"/>
    </row>
    <row r="101" spans="1:33" x14ac:dyDescent="0.15">
      <c r="A101" s="130">
        <v>28</v>
      </c>
      <c r="B101" s="211">
        <v>6.5</v>
      </c>
      <c r="C101" s="38">
        <f>+B101*B101</f>
        <v>42.25</v>
      </c>
      <c r="D101" s="38">
        <v>1</v>
      </c>
      <c r="E101" s="38">
        <f>+C101*3.14159*A101*D101</f>
        <v>3716.5009700000001</v>
      </c>
      <c r="F101" s="38">
        <f>+E101*0.3048</f>
        <v>1132.7894956560001</v>
      </c>
      <c r="G101" s="38">
        <v>28</v>
      </c>
      <c r="H101" s="38">
        <v>4</v>
      </c>
      <c r="I101" s="38">
        <v>4.1669999999999998</v>
      </c>
      <c r="J101" s="38">
        <f>+G101*H101*I101</f>
        <v>466.70399999999995</v>
      </c>
      <c r="K101" s="38">
        <f>+J101*0.3048</f>
        <v>142.2513792</v>
      </c>
      <c r="L101" s="38">
        <v>1</v>
      </c>
      <c r="M101" s="38">
        <f>+G101*H101*I101*L101</f>
        <v>466.70399999999995</v>
      </c>
      <c r="N101" s="38">
        <f>+M101*0.3048</f>
        <v>142.2513792</v>
      </c>
      <c r="O101" s="38"/>
      <c r="P101" s="38"/>
      <c r="Q101" s="38"/>
      <c r="R101" s="38"/>
      <c r="S101" s="113" t="s">
        <v>18</v>
      </c>
      <c r="T101" s="38"/>
      <c r="U101" s="113" t="s">
        <v>18</v>
      </c>
      <c r="V101" s="38"/>
      <c r="W101" s="38"/>
      <c r="X101" s="172"/>
      <c r="Y101" s="38"/>
      <c r="Z101" s="3"/>
      <c r="AA101" s="3"/>
      <c r="AB101" s="3"/>
      <c r="AC101" s="3"/>
      <c r="AD101" s="3"/>
      <c r="AE101" s="3"/>
      <c r="AF101" s="3"/>
      <c r="AG101" s="3"/>
    </row>
    <row r="102" spans="1:33" x14ac:dyDescent="0.15">
      <c r="A102" s="130" t="s">
        <v>18</v>
      </c>
      <c r="B102" s="211"/>
      <c r="C102" s="38"/>
      <c r="D102" s="38" t="s">
        <v>18</v>
      </c>
      <c r="E102" s="38"/>
      <c r="F102" s="38"/>
      <c r="G102" s="38" t="s">
        <v>18</v>
      </c>
      <c r="H102" s="38" t="s">
        <v>18</v>
      </c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172"/>
      <c r="Y102" s="38"/>
      <c r="Z102" s="3"/>
      <c r="AA102" s="3"/>
      <c r="AB102" s="3"/>
      <c r="AC102" s="3"/>
      <c r="AD102" s="3"/>
      <c r="AE102" s="3"/>
      <c r="AF102" s="3"/>
      <c r="AG102" s="3"/>
    </row>
    <row r="103" spans="1:33" x14ac:dyDescent="0.15">
      <c r="A103" s="130">
        <v>13</v>
      </c>
      <c r="B103" s="211">
        <v>6.1669999999999998</v>
      </c>
      <c r="C103" s="38">
        <f>+B103*B103</f>
        <v>38.031889</v>
      </c>
      <c r="D103" s="38">
        <v>1</v>
      </c>
      <c r="E103" s="38">
        <f>+C103*3.14159*A103*D103</f>
        <v>1553.2478281256299</v>
      </c>
      <c r="F103" s="38">
        <f>+E103*0.3048</f>
        <v>473.42993801269199</v>
      </c>
      <c r="G103" s="38">
        <v>13</v>
      </c>
      <c r="H103" s="38">
        <v>11.916700000000001</v>
      </c>
      <c r="I103" s="38">
        <v>11.916700000000001</v>
      </c>
      <c r="J103" s="38">
        <f>+G103*H103*I103</f>
        <v>1846.1006055700002</v>
      </c>
      <c r="K103" s="38">
        <f>+J103*0.3048</f>
        <v>562.69146457773604</v>
      </c>
      <c r="L103" s="38">
        <v>0.9</v>
      </c>
      <c r="M103" s="38">
        <f>+G103*H103*I103*L103</f>
        <v>1661.4905450130002</v>
      </c>
      <c r="N103" s="38">
        <f>+M103*0.3048</f>
        <v>506.42231811996248</v>
      </c>
      <c r="O103" s="38"/>
      <c r="P103" s="38"/>
      <c r="Q103" s="38"/>
      <c r="R103" s="38"/>
      <c r="S103" s="38"/>
      <c r="T103" s="38"/>
      <c r="U103" s="38"/>
      <c r="V103" s="38"/>
      <c r="W103" s="38"/>
      <c r="X103" s="172"/>
      <c r="Y103" s="38"/>
      <c r="Z103" s="3"/>
      <c r="AA103" s="3"/>
      <c r="AB103" s="3"/>
      <c r="AC103" s="3"/>
      <c r="AD103" s="3"/>
      <c r="AE103" s="3"/>
      <c r="AF103" s="3"/>
      <c r="AG103" s="3"/>
    </row>
    <row r="104" spans="1:33" ht="14" thickBot="1" x14ac:dyDescent="0.2">
      <c r="A104" s="130"/>
      <c r="B104" s="211"/>
      <c r="C104" s="38"/>
      <c r="D104" s="38"/>
      <c r="E104" s="84">
        <f>SUM(E101:E103)</f>
        <v>5269.7487981256299</v>
      </c>
      <c r="F104" s="84">
        <f>SUM(F101:F103)</f>
        <v>1606.2194336686921</v>
      </c>
      <c r="G104" s="38"/>
      <c r="H104" s="38"/>
      <c r="I104" s="38"/>
      <c r="J104" s="84">
        <f>SUM(J101:J103)</f>
        <v>2312.8046055700001</v>
      </c>
      <c r="K104" s="84">
        <f>SUM(K101:K103)</f>
        <v>704.94284377773602</v>
      </c>
      <c r="L104" s="38"/>
      <c r="M104" s="84">
        <f>SUM(M101:M103)</f>
        <v>2128.1945450130002</v>
      </c>
      <c r="N104" s="84">
        <f>SUM(N101:N103)</f>
        <v>648.67369731996246</v>
      </c>
      <c r="O104" s="38"/>
      <c r="P104" s="38"/>
      <c r="Q104" s="38"/>
      <c r="R104" s="38"/>
      <c r="S104" s="38"/>
      <c r="T104" s="38"/>
      <c r="U104" s="38"/>
      <c r="V104" s="38"/>
      <c r="W104" s="38"/>
      <c r="X104" s="172"/>
      <c r="Y104" s="38"/>
      <c r="Z104" s="3"/>
      <c r="AA104" s="3"/>
      <c r="AB104" s="3" t="s">
        <v>18</v>
      </c>
      <c r="AC104" s="3"/>
      <c r="AD104" s="3"/>
      <c r="AE104" s="3"/>
      <c r="AF104" s="3"/>
      <c r="AG104" s="3"/>
    </row>
    <row r="105" spans="1:33" ht="14" thickBot="1" x14ac:dyDescent="0.2">
      <c r="A105" s="632" t="s">
        <v>320</v>
      </c>
      <c r="B105" s="295"/>
      <c r="C105" s="295"/>
      <c r="D105" s="295"/>
      <c r="E105" s="575">
        <f>+E92+E98+E104</f>
        <v>20392.902296828281</v>
      </c>
      <c r="F105" s="575">
        <f>+E105*0.3048</f>
        <v>6215.7566200732599</v>
      </c>
      <c r="G105" s="587"/>
      <c r="H105" s="587"/>
      <c r="I105" s="587"/>
      <c r="J105" s="575" t="s">
        <v>18</v>
      </c>
      <c r="K105" s="575" t="s">
        <v>18</v>
      </c>
      <c r="L105" s="587"/>
      <c r="M105" s="575">
        <f>+M92+M98+M104</f>
        <v>4693.0822357630004</v>
      </c>
      <c r="N105" s="575">
        <f>+M105*0.3048</f>
        <v>1430.4514654605625</v>
      </c>
      <c r="O105" s="587"/>
      <c r="P105" s="587"/>
      <c r="Q105" s="587"/>
      <c r="R105" s="587"/>
      <c r="S105" s="587"/>
      <c r="T105" s="587"/>
      <c r="U105" s="575">
        <v>2282</v>
      </c>
      <c r="V105" s="575">
        <f>+U105*0.3048</f>
        <v>695.55360000000007</v>
      </c>
      <c r="W105" s="575">
        <v>913</v>
      </c>
      <c r="X105" s="576">
        <f>+W105*0.3048</f>
        <v>278.2824</v>
      </c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ht="14" thickBot="1" x14ac:dyDescent="0.2">
      <c r="A106" s="633"/>
      <c r="B106" s="634"/>
      <c r="C106" s="634"/>
      <c r="D106" s="634"/>
      <c r="E106" s="634"/>
      <c r="F106" s="634"/>
      <c r="G106" s="634" t="s">
        <v>18</v>
      </c>
      <c r="H106" s="634"/>
      <c r="I106" s="634" t="s">
        <v>18</v>
      </c>
      <c r="J106" s="634"/>
      <c r="K106" s="634"/>
      <c r="L106" s="634"/>
      <c r="M106" s="634" t="s">
        <v>18</v>
      </c>
      <c r="N106" s="634"/>
      <c r="O106" s="634"/>
      <c r="P106" s="634" t="s">
        <v>18</v>
      </c>
      <c r="Q106" s="634"/>
      <c r="R106" s="635"/>
      <c r="S106" s="635"/>
      <c r="T106" s="635"/>
      <c r="U106" s="635"/>
      <c r="V106" s="634"/>
      <c r="W106" s="634"/>
      <c r="X106" s="636"/>
      <c r="Y106" s="3"/>
      <c r="Z106" s="3"/>
      <c r="AA106" s="3"/>
      <c r="AB106" s="3" t="s">
        <v>18</v>
      </c>
      <c r="AC106" s="3"/>
      <c r="AD106" s="3"/>
      <c r="AE106" s="3"/>
      <c r="AF106" s="3"/>
      <c r="AG106" s="3"/>
    </row>
    <row r="107" spans="1:33" x14ac:dyDescent="0.15">
      <c r="A107" s="604" t="s">
        <v>12</v>
      </c>
      <c r="B107" s="637" t="s">
        <v>2</v>
      </c>
      <c r="C107" s="84" t="s">
        <v>18</v>
      </c>
      <c r="D107" s="84" t="s">
        <v>6</v>
      </c>
      <c r="E107" s="84"/>
      <c r="F107" s="84" t="s">
        <v>6</v>
      </c>
      <c r="G107" s="84" t="s">
        <v>18</v>
      </c>
      <c r="H107" s="84" t="s">
        <v>10</v>
      </c>
      <c r="I107" s="84"/>
      <c r="J107" s="84" t="s">
        <v>77</v>
      </c>
      <c r="K107" s="84" t="s">
        <v>78</v>
      </c>
      <c r="L107" s="84" t="s">
        <v>19</v>
      </c>
      <c r="M107" s="38"/>
      <c r="N107" s="38"/>
      <c r="O107" s="84" t="s">
        <v>24</v>
      </c>
      <c r="P107" s="84" t="s">
        <v>36</v>
      </c>
      <c r="Q107" s="112" t="s">
        <v>38</v>
      </c>
      <c r="R107" s="605" t="s">
        <v>696</v>
      </c>
      <c r="S107" s="606" t="s">
        <v>696</v>
      </c>
      <c r="T107" s="606" t="s">
        <v>696</v>
      </c>
      <c r="U107" s="607" t="s">
        <v>696</v>
      </c>
      <c r="V107" s="71" t="s">
        <v>18</v>
      </c>
      <c r="W107" s="71"/>
      <c r="X107" s="71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ht="14" thickBot="1" x14ac:dyDescent="0.2">
      <c r="A108" s="608" t="s">
        <v>411</v>
      </c>
      <c r="B108" s="637" t="s">
        <v>3</v>
      </c>
      <c r="C108" s="84" t="s">
        <v>18</v>
      </c>
      <c r="D108" s="84" t="s">
        <v>4</v>
      </c>
      <c r="E108" s="84"/>
      <c r="F108" s="84" t="s">
        <v>4</v>
      </c>
      <c r="G108" s="84"/>
      <c r="H108" s="84" t="s">
        <v>9</v>
      </c>
      <c r="I108" s="84"/>
      <c r="J108" s="38"/>
      <c r="K108" s="84"/>
      <c r="L108" s="84" t="s">
        <v>21</v>
      </c>
      <c r="M108" s="84" t="s">
        <v>20</v>
      </c>
      <c r="N108" s="38"/>
      <c r="O108" s="84" t="s">
        <v>25</v>
      </c>
      <c r="P108" s="84" t="s">
        <v>37</v>
      </c>
      <c r="Q108" s="112" t="s">
        <v>40</v>
      </c>
      <c r="R108" s="594" t="s">
        <v>558</v>
      </c>
      <c r="S108" s="638" t="s">
        <v>558</v>
      </c>
      <c r="T108" s="638" t="s">
        <v>559</v>
      </c>
      <c r="U108" s="639" t="s">
        <v>559</v>
      </c>
      <c r="V108" s="71"/>
      <c r="W108" s="71"/>
      <c r="X108" s="71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ht="14" thickBot="1" x14ac:dyDescent="0.2">
      <c r="A109" s="610"/>
      <c r="B109" s="614"/>
      <c r="C109" s="270"/>
      <c r="D109" s="270" t="s">
        <v>5</v>
      </c>
      <c r="E109" s="270"/>
      <c r="F109" s="270" t="s">
        <v>7</v>
      </c>
      <c r="G109" s="270"/>
      <c r="H109" s="270"/>
      <c r="I109" s="270"/>
      <c r="J109" s="270"/>
      <c r="K109" s="270"/>
      <c r="L109" s="174"/>
      <c r="M109" s="174"/>
      <c r="N109" s="174"/>
      <c r="O109" s="174"/>
      <c r="P109" s="174"/>
      <c r="Q109" s="198"/>
      <c r="R109" s="614" t="s">
        <v>16</v>
      </c>
      <c r="S109" s="270" t="s">
        <v>17</v>
      </c>
      <c r="T109" s="270" t="s">
        <v>16</v>
      </c>
      <c r="U109" s="615" t="s">
        <v>17</v>
      </c>
      <c r="V109" s="71"/>
      <c r="W109" s="71" t="s">
        <v>18</v>
      </c>
      <c r="X109" s="71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ht="14" thickBot="1" x14ac:dyDescent="0.2">
      <c r="A110" s="640" t="s">
        <v>13</v>
      </c>
      <c r="B110" s="612" t="s">
        <v>316</v>
      </c>
      <c r="C110" s="612" t="s">
        <v>317</v>
      </c>
      <c r="D110" s="612" t="s">
        <v>316</v>
      </c>
      <c r="E110" s="612" t="s">
        <v>317</v>
      </c>
      <c r="F110" s="612" t="s">
        <v>316</v>
      </c>
      <c r="G110" s="612" t="s">
        <v>317</v>
      </c>
      <c r="H110" s="612" t="s">
        <v>16</v>
      </c>
      <c r="I110" s="612" t="s">
        <v>17</v>
      </c>
      <c r="J110" s="612" t="s">
        <v>79</v>
      </c>
      <c r="K110" s="612" t="s">
        <v>80</v>
      </c>
      <c r="L110" s="295"/>
      <c r="M110" s="295"/>
      <c r="N110" s="295"/>
      <c r="O110" s="295"/>
      <c r="P110" s="295"/>
      <c r="Q110" s="613"/>
      <c r="R110" s="469"/>
      <c r="S110" s="295"/>
      <c r="T110" s="295"/>
      <c r="U110" s="613"/>
      <c r="V110" s="71"/>
      <c r="W110" s="71" t="s">
        <v>18</v>
      </c>
      <c r="X110" s="71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x14ac:dyDescent="0.15">
      <c r="A111" s="462" t="s">
        <v>513</v>
      </c>
      <c r="B111" s="113">
        <v>12380.920454267132</v>
      </c>
      <c r="C111" s="113">
        <v>3773.7045544606226</v>
      </c>
      <c r="D111" s="113">
        <v>270.59419249999996</v>
      </c>
      <c r="E111" s="113">
        <v>82.477109874000007</v>
      </c>
      <c r="F111" s="299">
        <v>0</v>
      </c>
      <c r="G111" s="299">
        <v>0</v>
      </c>
      <c r="H111" s="113">
        <v>512.00003400000003</v>
      </c>
      <c r="I111" s="113">
        <v>156.05761036320001</v>
      </c>
      <c r="J111" s="113"/>
      <c r="K111" s="113" t="s">
        <v>81</v>
      </c>
      <c r="L111" s="113">
        <v>8</v>
      </c>
      <c r="M111" s="113">
        <v>0</v>
      </c>
      <c r="N111" s="113"/>
      <c r="O111" s="113">
        <v>0</v>
      </c>
      <c r="P111" s="113">
        <v>0</v>
      </c>
      <c r="Q111" s="299">
        <v>0</v>
      </c>
      <c r="R111" s="641">
        <v>408.7</v>
      </c>
      <c r="S111" s="131">
        <f>+R111*0.3048</f>
        <v>124.57176</v>
      </c>
      <c r="T111" s="642">
        <v>363</v>
      </c>
      <c r="U111" s="596">
        <f t="shared" ref="U111:U117" si="10">+T111*0.3048</f>
        <v>110.64240000000001</v>
      </c>
      <c r="V111" s="71" t="s">
        <v>18</v>
      </c>
      <c r="W111" s="71" t="s">
        <v>18</v>
      </c>
      <c r="X111" s="71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x14ac:dyDescent="0.15">
      <c r="A112" s="462" t="s">
        <v>515</v>
      </c>
      <c r="B112" s="40">
        <v>11832.732997857604</v>
      </c>
      <c r="C112" s="299">
        <v>3606.6170177469976</v>
      </c>
      <c r="D112" s="113">
        <v>307.84138742411153</v>
      </c>
      <c r="E112" s="113">
        <v>93.830054886869206</v>
      </c>
      <c r="F112" s="113">
        <v>689.12131328884789</v>
      </c>
      <c r="G112" s="113">
        <v>210.04417629044087</v>
      </c>
      <c r="H112" s="113">
        <v>207.33333300000001</v>
      </c>
      <c r="I112" s="113">
        <v>63.195199898399999</v>
      </c>
      <c r="J112" s="113"/>
      <c r="K112" s="113" t="s">
        <v>81</v>
      </c>
      <c r="L112" s="113">
        <v>1</v>
      </c>
      <c r="M112" s="113">
        <v>0</v>
      </c>
      <c r="N112" s="113"/>
      <c r="O112" s="113">
        <v>1</v>
      </c>
      <c r="P112" s="113">
        <v>2</v>
      </c>
      <c r="Q112" s="299">
        <v>0</v>
      </c>
      <c r="R112" s="597">
        <v>177.1</v>
      </c>
      <c r="S112" s="113">
        <f>+R112*0.3048</f>
        <v>53.980080000000001</v>
      </c>
      <c r="T112" s="299">
        <v>215.6</v>
      </c>
      <c r="U112" s="312">
        <f t="shared" si="10"/>
        <v>65.714880000000008</v>
      </c>
      <c r="V112" s="71"/>
      <c r="W112" s="71" t="s">
        <v>18</v>
      </c>
      <c r="X112" s="71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x14ac:dyDescent="0.15">
      <c r="A113" s="643" t="s">
        <v>517</v>
      </c>
      <c r="B113" s="113">
        <v>6030.2820050000009</v>
      </c>
      <c r="C113" s="113">
        <v>1838.0299551240003</v>
      </c>
      <c r="D113" s="113">
        <v>239.31125197041689</v>
      </c>
      <c r="E113" s="113">
        <v>72.942069600583068</v>
      </c>
      <c r="F113" s="40">
        <v>12.410415324999999</v>
      </c>
      <c r="G113" s="113">
        <v>3.7826945910599998</v>
      </c>
      <c r="H113" s="113">
        <v>209.41667000000001</v>
      </c>
      <c r="I113" s="113">
        <v>63.830201016000004</v>
      </c>
      <c r="J113" s="113"/>
      <c r="K113" s="113" t="s">
        <v>81</v>
      </c>
      <c r="L113" s="113">
        <v>4</v>
      </c>
      <c r="M113" s="113">
        <v>0</v>
      </c>
      <c r="N113" s="113"/>
      <c r="O113" s="113">
        <v>0</v>
      </c>
      <c r="P113" s="113">
        <v>1</v>
      </c>
      <c r="Q113" s="113">
        <v>0</v>
      </c>
      <c r="R113" s="262"/>
      <c r="S113" s="113"/>
      <c r="T113" s="299">
        <v>495.29999999999995</v>
      </c>
      <c r="U113" s="312">
        <v>150.96744000000001</v>
      </c>
      <c r="V113" s="71"/>
      <c r="W113" s="71"/>
      <c r="X113" s="71"/>
      <c r="Y113" s="40"/>
      <c r="Z113" s="3"/>
      <c r="AA113" s="3"/>
      <c r="AB113" s="3"/>
      <c r="AC113" s="3"/>
      <c r="AD113" s="3"/>
      <c r="AE113" s="3"/>
      <c r="AF113" s="3"/>
      <c r="AG113" s="3"/>
    </row>
    <row r="114" spans="1:33" x14ac:dyDescent="0.15">
      <c r="A114" s="84" t="s">
        <v>519</v>
      </c>
      <c r="B114" s="113">
        <v>7299.3973045598595</v>
      </c>
      <c r="C114" s="113">
        <v>2224.8562984298451</v>
      </c>
      <c r="D114" s="113">
        <v>164.453125</v>
      </c>
      <c r="E114" s="113">
        <v>50.125312500000007</v>
      </c>
      <c r="F114" s="40">
        <v>0</v>
      </c>
      <c r="G114" s="113">
        <v>0</v>
      </c>
      <c r="H114" s="113">
        <v>86.25</v>
      </c>
      <c r="I114" s="113">
        <v>26.289000000000001</v>
      </c>
      <c r="J114" s="113"/>
      <c r="K114" s="113" t="s">
        <v>81</v>
      </c>
      <c r="L114" s="299">
        <v>1</v>
      </c>
      <c r="M114" s="113">
        <v>0</v>
      </c>
      <c r="N114" s="113"/>
      <c r="O114" s="113">
        <v>0</v>
      </c>
      <c r="P114" s="113">
        <v>0</v>
      </c>
      <c r="Q114" s="113">
        <v>0</v>
      </c>
      <c r="R114" s="262"/>
      <c r="S114" s="113"/>
      <c r="T114" s="299">
        <v>177.4</v>
      </c>
      <c r="U114" s="312">
        <f t="shared" si="10"/>
        <v>54.071520000000007</v>
      </c>
      <c r="V114" s="71"/>
      <c r="W114" s="71"/>
      <c r="X114" s="71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x14ac:dyDescent="0.15">
      <c r="A115" s="84" t="s">
        <v>560</v>
      </c>
      <c r="B115" s="113">
        <v>4453.0296412879179</v>
      </c>
      <c r="C115" s="113">
        <v>1357.2834346645573</v>
      </c>
      <c r="D115" s="113">
        <v>82.03125</v>
      </c>
      <c r="E115" s="113">
        <v>25.003125000000001</v>
      </c>
      <c r="F115" s="40">
        <v>0</v>
      </c>
      <c r="G115" s="113">
        <v>0</v>
      </c>
      <c r="H115" s="113">
        <v>90</v>
      </c>
      <c r="I115" s="113">
        <v>27.432000000000002</v>
      </c>
      <c r="J115" s="113"/>
      <c r="K115" s="113" t="s">
        <v>81</v>
      </c>
      <c r="L115" s="299">
        <v>1</v>
      </c>
      <c r="M115" s="113">
        <v>0</v>
      </c>
      <c r="N115" s="113"/>
      <c r="O115" s="299">
        <v>0</v>
      </c>
      <c r="P115" s="299">
        <v>1</v>
      </c>
      <c r="Q115" s="299">
        <v>0</v>
      </c>
      <c r="R115" s="262"/>
      <c r="S115" s="113"/>
      <c r="T115" s="299">
        <v>110.9</v>
      </c>
      <c r="U115" s="312">
        <f t="shared" si="10"/>
        <v>33.802320000000002</v>
      </c>
      <c r="V115" s="71"/>
      <c r="W115" s="71" t="s">
        <v>18</v>
      </c>
      <c r="X115" s="71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x14ac:dyDescent="0.15">
      <c r="A116" s="84" t="s">
        <v>521</v>
      </c>
      <c r="B116" s="113">
        <v>5839.2555481099798</v>
      </c>
      <c r="C116" s="113">
        <v>1779.8050910639217</v>
      </c>
      <c r="D116" s="113">
        <v>45.914450368889085</v>
      </c>
      <c r="E116" s="113">
        <v>13.994724472437394</v>
      </c>
      <c r="F116" s="40">
        <v>0</v>
      </c>
      <c r="G116" s="113">
        <v>0</v>
      </c>
      <c r="H116" s="113">
        <v>0</v>
      </c>
      <c r="I116" s="113">
        <v>0</v>
      </c>
      <c r="J116" s="113"/>
      <c r="K116" s="113" t="s">
        <v>81</v>
      </c>
      <c r="L116" s="299">
        <v>0</v>
      </c>
      <c r="M116" s="113">
        <v>0</v>
      </c>
      <c r="N116" s="113"/>
      <c r="O116" s="299">
        <v>0</v>
      </c>
      <c r="P116" s="299">
        <v>1</v>
      </c>
      <c r="Q116" s="299">
        <v>0</v>
      </c>
      <c r="R116" s="262"/>
      <c r="S116" s="113" t="s">
        <v>18</v>
      </c>
      <c r="T116" s="299">
        <v>61.9</v>
      </c>
      <c r="U116" s="312">
        <f t="shared" si="10"/>
        <v>18.86712</v>
      </c>
      <c r="V116" s="71"/>
      <c r="W116" s="71"/>
      <c r="X116" s="71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x14ac:dyDescent="0.15">
      <c r="A117" s="84" t="s">
        <v>523</v>
      </c>
      <c r="B117" s="113">
        <v>5858.7380596773992</v>
      </c>
      <c r="C117" s="113">
        <v>1785.7433605896715</v>
      </c>
      <c r="D117" s="113">
        <v>52.92</v>
      </c>
      <c r="E117" s="40">
        <v>16.130016000000005</v>
      </c>
      <c r="F117" s="40">
        <v>345.44021166250002</v>
      </c>
      <c r="G117" s="40">
        <v>105.29017651473001</v>
      </c>
      <c r="H117" s="113">
        <v>58.833330000000004</v>
      </c>
      <c r="I117" s="113">
        <v>17.932398984000002</v>
      </c>
      <c r="J117" s="113"/>
      <c r="K117" s="113" t="s">
        <v>81</v>
      </c>
      <c r="L117" s="299">
        <v>0</v>
      </c>
      <c r="M117" s="113">
        <v>0</v>
      </c>
      <c r="N117" s="113"/>
      <c r="O117" s="299">
        <v>0</v>
      </c>
      <c r="P117" s="299">
        <v>0</v>
      </c>
      <c r="Q117" s="299">
        <v>0</v>
      </c>
      <c r="R117" s="597">
        <v>48.3</v>
      </c>
      <c r="S117" s="113">
        <f>+R117*0.3048</f>
        <v>14.72184</v>
      </c>
      <c r="T117" s="299">
        <v>163.19999999999999</v>
      </c>
      <c r="U117" s="312">
        <f t="shared" si="10"/>
        <v>49.743359999999996</v>
      </c>
      <c r="V117" s="71" t="s">
        <v>18</v>
      </c>
      <c r="W117" s="71"/>
      <c r="X117" s="71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x14ac:dyDescent="0.15">
      <c r="A118" s="84" t="s">
        <v>525</v>
      </c>
      <c r="B118" s="113">
        <v>3773.8349874999999</v>
      </c>
      <c r="C118" s="113">
        <v>1150.2649041900002</v>
      </c>
      <c r="D118" s="113">
        <v>243.94358596248995</v>
      </c>
      <c r="E118" s="113">
        <v>74.354005001366943</v>
      </c>
      <c r="F118" s="113">
        <v>565.05071236100571</v>
      </c>
      <c r="G118" s="113">
        <v>172.22745712763501</v>
      </c>
      <c r="H118" s="40">
        <v>63</v>
      </c>
      <c r="I118" s="113">
        <v>19.202400000000001</v>
      </c>
      <c r="J118" s="113" t="s">
        <v>18</v>
      </c>
      <c r="K118" s="113" t="s">
        <v>81</v>
      </c>
      <c r="L118" s="299">
        <v>7</v>
      </c>
      <c r="M118" s="113">
        <v>0</v>
      </c>
      <c r="N118" s="113"/>
      <c r="O118" s="299">
        <v>0</v>
      </c>
      <c r="P118" s="299">
        <v>0</v>
      </c>
      <c r="Q118" s="299">
        <v>0</v>
      </c>
      <c r="R118" s="597">
        <v>469.7</v>
      </c>
      <c r="S118" s="113">
        <f>+R118*0.3048</f>
        <v>143.16455999999999</v>
      </c>
      <c r="T118" s="113"/>
      <c r="U118" s="644"/>
      <c r="V118" s="71"/>
      <c r="W118" s="71" t="s">
        <v>18</v>
      </c>
      <c r="X118" s="71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x14ac:dyDescent="0.15">
      <c r="A119" s="84" t="s">
        <v>527</v>
      </c>
      <c r="B119" s="113">
        <v>3832.4998371527595</v>
      </c>
      <c r="C119" s="113">
        <v>1168.1459503641611</v>
      </c>
      <c r="D119" s="113">
        <v>17.708347499999999</v>
      </c>
      <c r="E119" s="113">
        <v>5.3975043180000002</v>
      </c>
      <c r="F119" s="40">
        <v>242.9607692889</v>
      </c>
      <c r="G119" s="40">
        <v>74.054442479256721</v>
      </c>
      <c r="H119" s="113">
        <v>0</v>
      </c>
      <c r="I119" s="113">
        <v>0</v>
      </c>
      <c r="J119" s="113"/>
      <c r="K119" s="113" t="s">
        <v>81</v>
      </c>
      <c r="L119" s="299">
        <v>0</v>
      </c>
      <c r="M119" s="113">
        <v>0</v>
      </c>
      <c r="N119" s="113"/>
      <c r="O119" s="299">
        <v>0</v>
      </c>
      <c r="P119" s="299">
        <v>0</v>
      </c>
      <c r="Q119" s="299">
        <v>0</v>
      </c>
      <c r="R119" s="597">
        <v>31.4</v>
      </c>
      <c r="S119" s="113">
        <f>+R119*0.3048</f>
        <v>9.5707199999999997</v>
      </c>
      <c r="T119" s="113"/>
      <c r="U119" s="644"/>
      <c r="V119" s="71" t="s">
        <v>18</v>
      </c>
      <c r="W119" s="71" t="s">
        <v>18</v>
      </c>
      <c r="X119" s="71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ht="14" thickBot="1" x14ac:dyDescent="0.2">
      <c r="A120" s="84" t="s">
        <v>529</v>
      </c>
      <c r="B120" s="113">
        <v>4019.8116734925238</v>
      </c>
      <c r="C120" s="113">
        <v>1225.2385980805213</v>
      </c>
      <c r="D120" s="113">
        <v>220.36045382332202</v>
      </c>
      <c r="E120" s="113">
        <v>67.16586632534856</v>
      </c>
      <c r="F120" s="40">
        <v>654.92534520306617</v>
      </c>
      <c r="G120" s="113">
        <v>199.62124521789457</v>
      </c>
      <c r="H120" s="113">
        <v>47.666670000000003</v>
      </c>
      <c r="I120" s="113">
        <v>14.528801016000001</v>
      </c>
      <c r="J120" s="113"/>
      <c r="K120" s="113" t="s">
        <v>81</v>
      </c>
      <c r="L120" s="299">
        <v>1</v>
      </c>
      <c r="M120" s="113">
        <v>0</v>
      </c>
      <c r="N120" s="113"/>
      <c r="O120" s="299">
        <v>0</v>
      </c>
      <c r="P120" s="299">
        <v>0</v>
      </c>
      <c r="Q120" s="299">
        <v>0</v>
      </c>
      <c r="R120" s="598">
        <v>244.1</v>
      </c>
      <c r="S120" s="175">
        <f>+R120*0.3048</f>
        <v>74.401679999999999</v>
      </c>
      <c r="T120" s="175"/>
      <c r="U120" s="645"/>
      <c r="V120" s="71"/>
      <c r="W120" s="71"/>
      <c r="X120" s="71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ht="14" thickBot="1" x14ac:dyDescent="0.2">
      <c r="A121" s="632" t="s">
        <v>320</v>
      </c>
      <c r="B121" s="575">
        <f>SUM(B111:B120)</f>
        <v>65320.502508905178</v>
      </c>
      <c r="C121" s="575">
        <f>SUM(C111:C120)</f>
        <v>19909.689164714298</v>
      </c>
      <c r="D121" s="575">
        <f t="shared" ref="D121:I121" si="11">SUM(D111:D120)</f>
        <v>1645.0780445492296</v>
      </c>
      <c r="E121" s="575">
        <f t="shared" si="11"/>
        <v>501.4197879786052</v>
      </c>
      <c r="F121" s="575">
        <f t="shared" si="11"/>
        <v>2509.90876712932</v>
      </c>
      <c r="G121" s="575">
        <f t="shared" si="11"/>
        <v>765.02019222101717</v>
      </c>
      <c r="H121" s="575">
        <f t="shared" si="11"/>
        <v>1274.500037</v>
      </c>
      <c r="I121" s="575">
        <f t="shared" si="11"/>
        <v>388.46761127759999</v>
      </c>
      <c r="J121" s="575"/>
      <c r="K121" s="575" t="s">
        <v>18</v>
      </c>
      <c r="L121" s="575">
        <f>SUM(L111:L120)</f>
        <v>23</v>
      </c>
      <c r="M121" s="575">
        <f>SUM(M111:M120)</f>
        <v>0</v>
      </c>
      <c r="N121" s="575"/>
      <c r="O121" s="575">
        <f t="shared" ref="O121:U121" si="12">SUM(O111:O120)</f>
        <v>1</v>
      </c>
      <c r="P121" s="575">
        <f t="shared" si="12"/>
        <v>5</v>
      </c>
      <c r="Q121" s="576">
        <f t="shared" si="12"/>
        <v>0</v>
      </c>
      <c r="R121" s="590">
        <f t="shared" si="12"/>
        <v>1379.3</v>
      </c>
      <c r="S121" s="575">
        <f t="shared" si="12"/>
        <v>420.41064</v>
      </c>
      <c r="T121" s="575">
        <f t="shared" si="12"/>
        <v>1587.3000000000004</v>
      </c>
      <c r="U121" s="576">
        <f t="shared" si="12"/>
        <v>483.80904000000004</v>
      </c>
      <c r="V121" s="71"/>
      <c r="W121" s="71"/>
      <c r="X121" s="71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ht="14" thickBot="1" x14ac:dyDescent="0.2">
      <c r="A122" s="632" t="s">
        <v>545</v>
      </c>
      <c r="B122" s="296" t="s">
        <v>18</v>
      </c>
      <c r="C122" s="295"/>
      <c r="D122" s="295"/>
      <c r="E122" s="65" t="s">
        <v>18</v>
      </c>
      <c r="F122" s="575">
        <f>+D121+F121</f>
        <v>4154.9868116785492</v>
      </c>
      <c r="G122" s="575">
        <f>+E121+G121</f>
        <v>1266.4399801996224</v>
      </c>
      <c r="H122" s="295"/>
      <c r="I122" s="295"/>
      <c r="J122" s="65"/>
      <c r="K122" s="65"/>
      <c r="L122" s="296" t="s">
        <v>18</v>
      </c>
      <c r="M122" s="65"/>
      <c r="N122" s="65"/>
      <c r="O122" s="295"/>
      <c r="P122" s="295"/>
      <c r="Q122" s="295"/>
      <c r="R122" s="295"/>
      <c r="S122" s="295"/>
      <c r="T122" s="295"/>
      <c r="U122" s="613"/>
      <c r="V122" s="71"/>
      <c r="W122" s="71"/>
      <c r="X122" s="71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ht="14" thickBot="1" x14ac:dyDescent="0.2">
      <c r="A123" s="632"/>
      <c r="B123" s="296"/>
      <c r="C123" s="295"/>
      <c r="D123" s="295"/>
      <c r="E123" s="65"/>
      <c r="F123" s="575"/>
      <c r="G123" s="575"/>
      <c r="H123" s="295"/>
      <c r="I123" s="295"/>
      <c r="J123" s="65"/>
      <c r="K123" s="65"/>
      <c r="L123" s="296"/>
      <c r="M123" s="65"/>
      <c r="N123" s="65"/>
      <c r="O123" s="295"/>
      <c r="P123" s="295"/>
      <c r="Q123" s="295"/>
      <c r="R123" s="295"/>
      <c r="S123" s="295"/>
      <c r="T123" s="295"/>
      <c r="U123" s="613"/>
      <c r="V123" s="71"/>
      <c r="W123" s="71"/>
      <c r="X123" s="71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x14ac:dyDescent="0.15">
      <c r="A124" s="622"/>
      <c r="B124" s="618" t="s">
        <v>49</v>
      </c>
      <c r="C124" s="564"/>
      <c r="D124" s="564"/>
      <c r="E124" s="564" t="s">
        <v>18</v>
      </c>
      <c r="F124" s="564"/>
      <c r="G124" s="564" t="s">
        <v>18</v>
      </c>
      <c r="H124" s="564" t="s">
        <v>50</v>
      </c>
      <c r="I124" s="564"/>
      <c r="J124" s="564"/>
      <c r="K124" s="564"/>
      <c r="L124" s="78"/>
      <c r="M124" s="564"/>
      <c r="N124" s="564"/>
      <c r="O124" s="564" t="s">
        <v>57</v>
      </c>
      <c r="P124" s="564" t="s">
        <v>51</v>
      </c>
      <c r="Q124" s="564"/>
      <c r="R124" s="78"/>
      <c r="S124" s="78"/>
      <c r="T124" s="78"/>
      <c r="U124" s="564" t="s">
        <v>8</v>
      </c>
      <c r="V124" s="78"/>
      <c r="W124" s="564" t="s">
        <v>330</v>
      </c>
      <c r="X124" s="194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ht="14" thickBot="1" x14ac:dyDescent="0.2">
      <c r="A125" s="623"/>
      <c r="B125" s="614"/>
      <c r="C125" s="270"/>
      <c r="D125" s="270"/>
      <c r="E125" s="270"/>
      <c r="F125" s="270"/>
      <c r="G125" s="270"/>
      <c r="H125" s="270"/>
      <c r="I125" s="270"/>
      <c r="J125" s="270"/>
      <c r="K125" s="270"/>
      <c r="L125" s="174"/>
      <c r="M125" s="270"/>
      <c r="N125" s="270"/>
      <c r="O125" s="270"/>
      <c r="P125" s="270"/>
      <c r="Q125" s="270"/>
      <c r="R125" s="174"/>
      <c r="S125" s="174"/>
      <c r="T125" s="174"/>
      <c r="U125" s="270"/>
      <c r="V125" s="174"/>
      <c r="W125" s="174"/>
      <c r="X125" s="198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ht="15" x14ac:dyDescent="0.15">
      <c r="A126" s="618" t="s">
        <v>701</v>
      </c>
      <c r="B126" s="624" t="s">
        <v>26</v>
      </c>
      <c r="C126" s="625" t="s">
        <v>27</v>
      </c>
      <c r="D126" s="564" t="s">
        <v>32</v>
      </c>
      <c r="E126" s="625" t="s">
        <v>698</v>
      </c>
      <c r="F126" s="50"/>
      <c r="G126" s="625" t="s">
        <v>28</v>
      </c>
      <c r="H126" s="625" t="s">
        <v>29</v>
      </c>
      <c r="I126" s="625" t="s">
        <v>30</v>
      </c>
      <c r="J126" s="625" t="s">
        <v>31</v>
      </c>
      <c r="K126" s="625" t="s">
        <v>31</v>
      </c>
      <c r="L126" s="625" t="s">
        <v>32</v>
      </c>
      <c r="M126" s="625" t="s">
        <v>31</v>
      </c>
      <c r="N126" s="625" t="s">
        <v>31</v>
      </c>
      <c r="O126" s="625" t="s">
        <v>28</v>
      </c>
      <c r="P126" s="625" t="s">
        <v>29</v>
      </c>
      <c r="Q126" s="625" t="s">
        <v>30</v>
      </c>
      <c r="R126" s="625" t="s">
        <v>32</v>
      </c>
      <c r="S126" s="625" t="s">
        <v>31</v>
      </c>
      <c r="T126" s="625" t="s">
        <v>31</v>
      </c>
      <c r="U126" s="50"/>
      <c r="V126" s="50"/>
      <c r="W126" s="50"/>
      <c r="X126" s="8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ht="14" thickBot="1" x14ac:dyDescent="0.2">
      <c r="A127" s="627" t="s">
        <v>411</v>
      </c>
      <c r="B127" s="568"/>
      <c r="C127" s="174"/>
      <c r="D127" s="270" t="s">
        <v>33</v>
      </c>
      <c r="E127" s="174">
        <v>3.1415899999999999</v>
      </c>
      <c r="F127" s="174"/>
      <c r="G127" s="174"/>
      <c r="H127" s="628"/>
      <c r="I127" s="628"/>
      <c r="J127" s="34"/>
      <c r="K127" s="34"/>
      <c r="L127" s="629" t="s">
        <v>33</v>
      </c>
      <c r="M127" s="34"/>
      <c r="N127" s="34"/>
      <c r="O127" s="174"/>
      <c r="P127" s="628"/>
      <c r="Q127" s="628"/>
      <c r="R127" s="629" t="s">
        <v>33</v>
      </c>
      <c r="S127" s="34"/>
      <c r="T127" s="34"/>
      <c r="U127" s="174"/>
      <c r="V127" s="174"/>
      <c r="W127" s="174"/>
      <c r="X127" s="198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ht="14" thickBot="1" x14ac:dyDescent="0.2">
      <c r="A128" s="611" t="s">
        <v>512</v>
      </c>
      <c r="B128" s="693" t="s">
        <v>18</v>
      </c>
      <c r="C128" s="295"/>
      <c r="D128" s="295"/>
      <c r="E128" s="653" t="s">
        <v>16</v>
      </c>
      <c r="F128" s="653" t="s">
        <v>17</v>
      </c>
      <c r="G128" s="295"/>
      <c r="H128" s="295"/>
      <c r="I128" s="295"/>
      <c r="J128" s="653" t="s">
        <v>16</v>
      </c>
      <c r="K128" s="653" t="s">
        <v>17</v>
      </c>
      <c r="L128" s="295"/>
      <c r="M128" s="653" t="s">
        <v>16</v>
      </c>
      <c r="N128" s="653" t="s">
        <v>17</v>
      </c>
      <c r="O128" s="295"/>
      <c r="P128" s="295"/>
      <c r="Q128" s="295"/>
      <c r="R128" s="295"/>
      <c r="S128" s="653" t="s">
        <v>16</v>
      </c>
      <c r="T128" s="653" t="s">
        <v>17</v>
      </c>
      <c r="U128" s="653" t="s">
        <v>16</v>
      </c>
      <c r="V128" s="653" t="s">
        <v>17</v>
      </c>
      <c r="W128" s="653" t="s">
        <v>16</v>
      </c>
      <c r="X128" s="655" t="s">
        <v>17</v>
      </c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x14ac:dyDescent="0.15">
      <c r="A129" s="691">
        <v>1</v>
      </c>
      <c r="B129" s="597">
        <v>12.416667</v>
      </c>
      <c r="C129" s="113">
        <f t="shared" ref="C129:C141" si="13">+B129*B129</f>
        <v>154.17361938888899</v>
      </c>
      <c r="D129" s="299">
        <v>1</v>
      </c>
      <c r="E129" s="113">
        <f>+C129*3.14159*A129*D129</f>
        <v>484.35030093593974</v>
      </c>
      <c r="F129" s="113">
        <f t="shared" ref="F129:F141" si="14">+E129*0.3048</f>
        <v>147.62997172527443</v>
      </c>
      <c r="G129" s="113">
        <v>2</v>
      </c>
      <c r="H129" s="113">
        <v>5.25</v>
      </c>
      <c r="I129" s="113">
        <v>5.25</v>
      </c>
      <c r="J129" s="113">
        <f t="shared" ref="J129:J135" si="15">+G129*H129*I129</f>
        <v>55.125</v>
      </c>
      <c r="K129" s="113">
        <f>+J129*0.3048</f>
        <v>16.802099999999999</v>
      </c>
      <c r="L129" s="135">
        <v>0.9</v>
      </c>
      <c r="M129" s="113">
        <f>+J129*L129</f>
        <v>49.612500000000004</v>
      </c>
      <c r="N129" s="113">
        <f>+M129*0.3048</f>
        <v>15.121890000000002</v>
      </c>
      <c r="O129" s="113" t="s">
        <v>18</v>
      </c>
      <c r="P129" s="113" t="s">
        <v>18</v>
      </c>
      <c r="Q129" s="113" t="s">
        <v>18</v>
      </c>
      <c r="R129" s="113" t="s">
        <v>18</v>
      </c>
      <c r="S129" s="113" t="s">
        <v>313</v>
      </c>
      <c r="T129" s="113"/>
      <c r="U129" s="113">
        <v>18.166699999999999</v>
      </c>
      <c r="V129" s="467">
        <f>+U129*0.3048</f>
        <v>5.5372101599999999</v>
      </c>
      <c r="W129" s="71"/>
      <c r="X129" s="567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x14ac:dyDescent="0.15">
      <c r="A130" s="691">
        <v>1</v>
      </c>
      <c r="B130" s="597">
        <v>18.5</v>
      </c>
      <c r="C130" s="113">
        <f t="shared" si="13"/>
        <v>342.25</v>
      </c>
      <c r="D130" s="299">
        <v>1</v>
      </c>
      <c r="E130" s="113">
        <f>+C130*3.14159*A130*D130</f>
        <v>1075.2091774999999</v>
      </c>
      <c r="F130" s="113">
        <f t="shared" si="14"/>
        <v>327.72375730199997</v>
      </c>
      <c r="G130" s="113">
        <v>1</v>
      </c>
      <c r="H130" s="113">
        <v>5.25</v>
      </c>
      <c r="I130" s="113">
        <v>5.25</v>
      </c>
      <c r="J130" s="113">
        <f t="shared" si="15"/>
        <v>27.5625</v>
      </c>
      <c r="K130" s="113">
        <f t="shared" ref="K130:K135" si="16">+J130*0.3048</f>
        <v>8.4010499999999997</v>
      </c>
      <c r="L130" s="135">
        <v>0.95</v>
      </c>
      <c r="M130" s="113">
        <f t="shared" ref="M130:M135" si="17">+J130*L130</f>
        <v>26.184374999999999</v>
      </c>
      <c r="N130" s="113">
        <f t="shared" ref="N130:N135" si="18">+M130*0.3048</f>
        <v>7.9809975</v>
      </c>
      <c r="O130" s="113"/>
      <c r="P130" s="113" t="s">
        <v>18</v>
      </c>
      <c r="Q130" s="113"/>
      <c r="R130" s="113"/>
      <c r="S130" s="113"/>
      <c r="T130" s="113"/>
      <c r="U130" s="113">
        <v>65</v>
      </c>
      <c r="V130" s="467">
        <f>+U130*0.3048</f>
        <v>19.812000000000001</v>
      </c>
      <c r="W130" s="71"/>
      <c r="X130" s="567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x14ac:dyDescent="0.15">
      <c r="A131" s="691">
        <v>1</v>
      </c>
      <c r="B131" s="597">
        <v>4.5</v>
      </c>
      <c r="C131" s="113">
        <f t="shared" si="13"/>
        <v>20.25</v>
      </c>
      <c r="D131" s="299">
        <v>1</v>
      </c>
      <c r="E131" s="113">
        <f>+C131*3.14159*A131*D131</f>
        <v>63.617197499999996</v>
      </c>
      <c r="F131" s="113">
        <f t="shared" si="14"/>
        <v>19.390521797999998</v>
      </c>
      <c r="G131" s="113">
        <v>2</v>
      </c>
      <c r="H131" s="113">
        <v>5.25</v>
      </c>
      <c r="I131" s="113">
        <v>5.25</v>
      </c>
      <c r="J131" s="113">
        <f t="shared" si="15"/>
        <v>55.125</v>
      </c>
      <c r="K131" s="113">
        <f t="shared" si="16"/>
        <v>16.802099999999999</v>
      </c>
      <c r="L131" s="135">
        <v>0.92</v>
      </c>
      <c r="M131" s="113">
        <f t="shared" si="17"/>
        <v>50.715000000000003</v>
      </c>
      <c r="N131" s="113">
        <f t="shared" si="18"/>
        <v>15.457932000000001</v>
      </c>
      <c r="O131" s="646"/>
      <c r="P131" s="646"/>
      <c r="Q131" s="646"/>
      <c r="R131" s="646"/>
      <c r="S131" s="646"/>
      <c r="T131" s="646"/>
      <c r="U131" s="113">
        <v>94</v>
      </c>
      <c r="V131" s="467">
        <f>+U131*0.3048</f>
        <v>28.651200000000003</v>
      </c>
      <c r="W131" s="71"/>
      <c r="X131" s="567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x14ac:dyDescent="0.15">
      <c r="A132" s="691">
        <v>3</v>
      </c>
      <c r="B132" s="597">
        <v>15</v>
      </c>
      <c r="C132" s="113">
        <f t="shared" si="13"/>
        <v>225</v>
      </c>
      <c r="D132" s="299">
        <v>1</v>
      </c>
      <c r="E132" s="113">
        <f>+C132*3.14159*A132*D132</f>
        <v>2120.5732499999999</v>
      </c>
      <c r="F132" s="113">
        <f t="shared" si="14"/>
        <v>646.35072660000003</v>
      </c>
      <c r="G132" s="113">
        <v>1</v>
      </c>
      <c r="H132" s="113">
        <v>5.25</v>
      </c>
      <c r="I132" s="113">
        <v>5.25</v>
      </c>
      <c r="J132" s="113">
        <f t="shared" si="15"/>
        <v>27.5625</v>
      </c>
      <c r="K132" s="113">
        <f t="shared" si="16"/>
        <v>8.4010499999999997</v>
      </c>
      <c r="L132" s="811">
        <v>0.7</v>
      </c>
      <c r="M132" s="113">
        <f t="shared" si="17"/>
        <v>19.293749999999999</v>
      </c>
      <c r="N132" s="113">
        <f t="shared" si="18"/>
        <v>5.8807350000000005</v>
      </c>
      <c r="O132" s="646" t="s">
        <v>18</v>
      </c>
      <c r="P132" s="646"/>
      <c r="Q132" s="646"/>
      <c r="R132" s="646"/>
      <c r="S132" s="646"/>
      <c r="T132" s="646" t="s">
        <v>18</v>
      </c>
      <c r="U132" s="113">
        <v>49.4166667</v>
      </c>
      <c r="V132" s="467">
        <f t="shared" ref="V132:V138" si="19">+U132*0.3048</f>
        <v>15.062200010160002</v>
      </c>
      <c r="W132" s="71"/>
      <c r="X132" s="567"/>
      <c r="Y132" s="3"/>
      <c r="Z132" s="40" t="s">
        <v>18</v>
      </c>
      <c r="AA132" s="3"/>
      <c r="AB132" s="3"/>
      <c r="AC132" s="3"/>
      <c r="AD132" s="3"/>
      <c r="AE132" s="3"/>
      <c r="AF132" s="3"/>
      <c r="AG132" s="3"/>
    </row>
    <row r="133" spans="1:33" x14ac:dyDescent="0.15">
      <c r="A133" s="691">
        <v>1</v>
      </c>
      <c r="B133" s="597">
        <v>13</v>
      </c>
      <c r="C133" s="113">
        <f t="shared" si="13"/>
        <v>169</v>
      </c>
      <c r="D133" s="299">
        <v>1</v>
      </c>
      <c r="E133" s="113">
        <f>+C133*3.14159*A133*D133</f>
        <v>530.92871000000002</v>
      </c>
      <c r="F133" s="113">
        <f t="shared" si="14"/>
        <v>161.827070808</v>
      </c>
      <c r="G133" s="113">
        <v>2</v>
      </c>
      <c r="H133" s="299">
        <v>5.25</v>
      </c>
      <c r="I133" s="299">
        <v>5.25</v>
      </c>
      <c r="J133" s="113">
        <f t="shared" si="15"/>
        <v>55.125</v>
      </c>
      <c r="K133" s="113">
        <f t="shared" si="16"/>
        <v>16.802099999999999</v>
      </c>
      <c r="L133" s="811">
        <v>0.55000000000000004</v>
      </c>
      <c r="M133" s="113">
        <f t="shared" si="17"/>
        <v>30.318750000000001</v>
      </c>
      <c r="N133" s="113">
        <f t="shared" si="18"/>
        <v>9.2411550000000009</v>
      </c>
      <c r="O133" s="646"/>
      <c r="P133" s="646"/>
      <c r="Q133" s="646"/>
      <c r="R133" s="646"/>
      <c r="S133" s="646"/>
      <c r="T133" s="646"/>
      <c r="U133" s="113">
        <v>92.166667000000004</v>
      </c>
      <c r="V133" s="467">
        <f t="shared" si="19"/>
        <v>28.092400101600003</v>
      </c>
      <c r="W133" s="71"/>
      <c r="X133" s="567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x14ac:dyDescent="0.15">
      <c r="A134" s="691">
        <v>1</v>
      </c>
      <c r="B134" s="597">
        <v>7.5833300000000001</v>
      </c>
      <c r="C134" s="113">
        <f t="shared" si="13"/>
        <v>57.506893888900002</v>
      </c>
      <c r="D134" s="299">
        <v>1</v>
      </c>
      <c r="E134" s="113">
        <f t="shared" ref="E134:E141" si="20">+C134*3.14159*A134*D134</f>
        <v>180.66308277242936</v>
      </c>
      <c r="F134" s="113">
        <f t="shared" si="14"/>
        <v>55.066107629036473</v>
      </c>
      <c r="G134" s="113">
        <v>1</v>
      </c>
      <c r="H134" s="299">
        <v>5.25</v>
      </c>
      <c r="I134" s="299">
        <v>5.25</v>
      </c>
      <c r="J134" s="113">
        <f t="shared" si="15"/>
        <v>27.5625</v>
      </c>
      <c r="K134" s="113">
        <f t="shared" si="16"/>
        <v>8.4010499999999997</v>
      </c>
      <c r="L134" s="811">
        <v>0.85</v>
      </c>
      <c r="M134" s="113">
        <f t="shared" si="17"/>
        <v>23.428124999999998</v>
      </c>
      <c r="N134" s="113">
        <f t="shared" si="18"/>
        <v>7.1408924999999996</v>
      </c>
      <c r="O134" s="646"/>
      <c r="P134" s="646"/>
      <c r="Q134" s="810" t="s">
        <v>18</v>
      </c>
      <c r="R134" s="646" t="s">
        <v>18</v>
      </c>
      <c r="S134" s="646"/>
      <c r="T134" s="646"/>
      <c r="U134" s="113">
        <v>11.5833333</v>
      </c>
      <c r="V134" s="467">
        <f t="shared" si="19"/>
        <v>3.5305999898400002</v>
      </c>
      <c r="W134" s="71"/>
      <c r="X134" s="567" t="s">
        <v>18</v>
      </c>
      <c r="Y134" s="3"/>
      <c r="Z134" s="40" t="s">
        <v>18</v>
      </c>
      <c r="AA134" s="3"/>
      <c r="AB134" s="3"/>
      <c r="AC134" s="3"/>
      <c r="AD134" s="3"/>
      <c r="AE134" s="3"/>
      <c r="AF134" s="3"/>
      <c r="AG134" s="3"/>
    </row>
    <row r="135" spans="1:33" x14ac:dyDescent="0.15">
      <c r="A135" s="691">
        <v>1</v>
      </c>
      <c r="B135" s="597">
        <v>13.416667</v>
      </c>
      <c r="C135" s="113">
        <f t="shared" si="13"/>
        <v>180.006953388889</v>
      </c>
      <c r="D135" s="299">
        <v>1</v>
      </c>
      <c r="E135" s="113">
        <f t="shared" si="20"/>
        <v>565.50804469699983</v>
      </c>
      <c r="F135" s="113">
        <f t="shared" si="14"/>
        <v>172.36685202364555</v>
      </c>
      <c r="G135" s="299">
        <v>1</v>
      </c>
      <c r="H135" s="113">
        <v>9.1666699999999999</v>
      </c>
      <c r="I135" s="299">
        <v>7.75</v>
      </c>
      <c r="J135" s="113">
        <f t="shared" si="15"/>
        <v>71.041692499999996</v>
      </c>
      <c r="K135" s="113">
        <f t="shared" si="16"/>
        <v>21.653507873999999</v>
      </c>
      <c r="L135" s="811">
        <v>1</v>
      </c>
      <c r="M135" s="113">
        <f t="shared" si="17"/>
        <v>71.041692499999996</v>
      </c>
      <c r="N135" s="113">
        <f t="shared" si="18"/>
        <v>21.653507873999999</v>
      </c>
      <c r="O135" s="646"/>
      <c r="P135" s="646"/>
      <c r="Q135" s="646"/>
      <c r="R135" s="646"/>
      <c r="S135" s="646"/>
      <c r="T135" s="646"/>
      <c r="U135" s="113">
        <v>88</v>
      </c>
      <c r="V135" s="467">
        <f t="shared" si="19"/>
        <v>26.822400000000002</v>
      </c>
      <c r="W135" s="71"/>
      <c r="X135" s="567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x14ac:dyDescent="0.15">
      <c r="A136" s="691">
        <v>3</v>
      </c>
      <c r="B136" s="597">
        <v>18</v>
      </c>
      <c r="C136" s="113">
        <f t="shared" si="13"/>
        <v>324</v>
      </c>
      <c r="D136" s="299">
        <v>1</v>
      </c>
      <c r="E136" s="113">
        <f t="shared" si="20"/>
        <v>3053.6254799999997</v>
      </c>
      <c r="F136" s="113">
        <f t="shared" si="14"/>
        <v>930.74504630399997</v>
      </c>
      <c r="G136" s="113"/>
      <c r="H136" s="113"/>
      <c r="I136" s="113"/>
      <c r="J136" s="113"/>
      <c r="K136" s="113"/>
      <c r="L136" s="113"/>
      <c r="M136" s="84">
        <f>SUM(M129:M135)</f>
        <v>270.59419249999996</v>
      </c>
      <c r="N136" s="84">
        <f>SUM(N129:N135)</f>
        <v>82.477109874000007</v>
      </c>
      <c r="O136" s="646"/>
      <c r="P136" s="646"/>
      <c r="Q136" s="646"/>
      <c r="R136" s="646"/>
      <c r="S136" s="646"/>
      <c r="T136" s="646"/>
      <c r="U136" s="113">
        <v>50</v>
      </c>
      <c r="V136" s="467">
        <f t="shared" si="19"/>
        <v>15.24</v>
      </c>
      <c r="W136" s="71"/>
      <c r="X136" s="567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x14ac:dyDescent="0.15">
      <c r="A137" s="691">
        <v>1</v>
      </c>
      <c r="B137" s="597">
        <v>5.6666999999999996</v>
      </c>
      <c r="C137" s="113">
        <f t="shared" si="13"/>
        <v>32.111488889999997</v>
      </c>
      <c r="D137" s="299">
        <v>1</v>
      </c>
      <c r="E137" s="113">
        <f t="shared" si="20"/>
        <v>100.88113238193509</v>
      </c>
      <c r="F137" s="113">
        <f t="shared" si="14"/>
        <v>30.748569150013818</v>
      </c>
      <c r="G137" s="113"/>
      <c r="H137" s="299"/>
      <c r="I137" s="299"/>
      <c r="J137" s="113"/>
      <c r="K137" s="113"/>
      <c r="L137" s="299"/>
      <c r="M137" s="113"/>
      <c r="N137" s="113"/>
      <c r="O137" s="646"/>
      <c r="P137" s="646" t="s">
        <v>18</v>
      </c>
      <c r="Q137" s="646"/>
      <c r="R137" s="646"/>
      <c r="S137" s="646"/>
      <c r="T137" s="646"/>
      <c r="U137" s="113">
        <v>43.666666999999997</v>
      </c>
      <c r="V137" s="467">
        <f t="shared" si="19"/>
        <v>13.309600101599999</v>
      </c>
      <c r="W137" s="71"/>
      <c r="X137" s="567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x14ac:dyDescent="0.15">
      <c r="A138" s="691">
        <v>1</v>
      </c>
      <c r="B138" s="597">
        <v>16</v>
      </c>
      <c r="C138" s="113">
        <f t="shared" si="13"/>
        <v>256</v>
      </c>
      <c r="D138" s="299">
        <v>1</v>
      </c>
      <c r="E138" s="113">
        <f t="shared" si="20"/>
        <v>804.24703999999997</v>
      </c>
      <c r="F138" s="113">
        <f t="shared" si="14"/>
        <v>245.13449779199999</v>
      </c>
      <c r="G138" s="113"/>
      <c r="H138" s="113"/>
      <c r="I138" s="113"/>
      <c r="J138" s="113"/>
      <c r="K138" s="113" t="s">
        <v>18</v>
      </c>
      <c r="L138" s="113"/>
      <c r="M138" s="113"/>
      <c r="N138" s="113"/>
      <c r="O138" s="38"/>
      <c r="P138" s="38"/>
      <c r="Q138" s="38"/>
      <c r="R138" s="38"/>
      <c r="S138" s="38"/>
      <c r="T138" s="38"/>
      <c r="U138" s="84">
        <f>SUM(U129:U137)</f>
        <v>512.00003400000003</v>
      </c>
      <c r="V138" s="463">
        <f t="shared" si="19"/>
        <v>156.05761036320001</v>
      </c>
      <c r="W138" s="71"/>
      <c r="X138" s="567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x14ac:dyDescent="0.15">
      <c r="A139" s="691">
        <v>1</v>
      </c>
      <c r="B139" s="597">
        <v>21.41667</v>
      </c>
      <c r="C139" s="113">
        <f t="shared" si="13"/>
        <v>458.67375388889997</v>
      </c>
      <c r="D139" s="299">
        <v>1</v>
      </c>
      <c r="E139" s="113">
        <f t="shared" si="20"/>
        <v>1440.9648784798292</v>
      </c>
      <c r="F139" s="113">
        <f t="shared" si="14"/>
        <v>439.20609496065197</v>
      </c>
      <c r="G139" s="113"/>
      <c r="H139" s="113" t="s">
        <v>18</v>
      </c>
      <c r="I139" s="113"/>
      <c r="J139" s="113" t="s">
        <v>18</v>
      </c>
      <c r="K139" s="113" t="s">
        <v>18</v>
      </c>
      <c r="L139" s="113"/>
      <c r="M139" s="113"/>
      <c r="N139" s="113"/>
      <c r="O139" s="38"/>
      <c r="P139" s="38"/>
      <c r="Q139" s="38"/>
      <c r="R139" s="38"/>
      <c r="S139" s="113" t="s">
        <v>18</v>
      </c>
      <c r="T139" s="38"/>
      <c r="U139" s="84"/>
      <c r="V139" s="84"/>
      <c r="W139" s="71"/>
      <c r="X139" s="567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x14ac:dyDescent="0.15">
      <c r="A140" s="691">
        <v>3</v>
      </c>
      <c r="B140" s="597">
        <v>14</v>
      </c>
      <c r="C140" s="113">
        <f t="shared" si="13"/>
        <v>196</v>
      </c>
      <c r="D140" s="299">
        <v>1</v>
      </c>
      <c r="E140" s="113">
        <f t="shared" si="20"/>
        <v>1847.2549199999999</v>
      </c>
      <c r="F140" s="113">
        <f t="shared" si="14"/>
        <v>563.04329961600001</v>
      </c>
      <c r="G140" s="113"/>
      <c r="H140" s="113"/>
      <c r="I140" s="113"/>
      <c r="J140" s="113"/>
      <c r="K140" s="113"/>
      <c r="L140" s="113"/>
      <c r="M140" s="113"/>
      <c r="N140" s="113"/>
      <c r="O140" s="38"/>
      <c r="P140" s="38"/>
      <c r="Q140" s="38"/>
      <c r="R140" s="38"/>
      <c r="S140" s="38"/>
      <c r="T140" s="38"/>
      <c r="U140" s="84"/>
      <c r="V140" s="84"/>
      <c r="W140" s="71"/>
      <c r="X140" s="567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x14ac:dyDescent="0.15">
      <c r="A141" s="691">
        <v>1</v>
      </c>
      <c r="B141" s="597">
        <v>6</v>
      </c>
      <c r="C141" s="113">
        <f t="shared" si="13"/>
        <v>36</v>
      </c>
      <c r="D141" s="299">
        <v>1</v>
      </c>
      <c r="E141" s="113">
        <f t="shared" si="20"/>
        <v>113.09724</v>
      </c>
      <c r="F141" s="113">
        <f t="shared" si="14"/>
        <v>34.472038752000003</v>
      </c>
      <c r="G141" s="113"/>
      <c r="H141" s="113"/>
      <c r="I141" s="113"/>
      <c r="J141" s="113"/>
      <c r="K141" s="113"/>
      <c r="L141" s="113"/>
      <c r="M141" s="113"/>
      <c r="N141" s="113"/>
      <c r="O141" s="38"/>
      <c r="P141" s="38"/>
      <c r="Q141" s="38"/>
      <c r="R141" s="38" t="s">
        <v>18</v>
      </c>
      <c r="S141" s="38"/>
      <c r="T141" s="38"/>
      <c r="U141" s="84"/>
      <c r="V141" s="84"/>
      <c r="W141" s="71"/>
      <c r="X141" s="567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ht="14" thickBot="1" x14ac:dyDescent="0.2">
      <c r="A142" s="129"/>
      <c r="B142" s="262"/>
      <c r="C142" s="113"/>
      <c r="D142" s="113"/>
      <c r="E142" s="84">
        <f>SUM(E129:E141)</f>
        <v>12380.920454267132</v>
      </c>
      <c r="F142" s="84">
        <f>SUM(F129:F141)</f>
        <v>3773.7045544606226</v>
      </c>
      <c r="G142" s="113"/>
      <c r="H142" s="113"/>
      <c r="I142" s="113"/>
      <c r="J142" s="113"/>
      <c r="K142" s="113"/>
      <c r="L142" s="113"/>
      <c r="M142" s="113"/>
      <c r="N142" s="113"/>
      <c r="O142" s="38"/>
      <c r="P142" s="38"/>
      <c r="Q142" s="38"/>
      <c r="R142" s="38"/>
      <c r="S142" s="38"/>
      <c r="T142" s="38"/>
      <c r="U142" s="84"/>
      <c r="V142" s="84"/>
      <c r="W142" s="71"/>
      <c r="X142" s="567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ht="14" thickBot="1" x14ac:dyDescent="0.2">
      <c r="A143" s="611" t="s">
        <v>514</v>
      </c>
      <c r="B143" s="597"/>
      <c r="C143" s="25"/>
      <c r="D143" s="25"/>
      <c r="E143" s="84"/>
      <c r="F143" s="84"/>
      <c r="G143" s="38"/>
      <c r="H143" s="38"/>
      <c r="I143" s="113" t="s">
        <v>18</v>
      </c>
      <c r="J143" s="84"/>
      <c r="K143" s="84"/>
      <c r="L143" s="38"/>
      <c r="M143" s="84"/>
      <c r="N143" s="84"/>
      <c r="O143" s="38"/>
      <c r="P143" s="38"/>
      <c r="Q143" s="38"/>
      <c r="R143" s="38"/>
      <c r="S143" s="38"/>
      <c r="T143" s="113" t="s">
        <v>18</v>
      </c>
      <c r="U143" s="84"/>
      <c r="V143" s="84"/>
      <c r="W143" s="71"/>
      <c r="X143" s="567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x14ac:dyDescent="0.15">
      <c r="A144" s="692">
        <v>2</v>
      </c>
      <c r="B144" s="597">
        <v>10.5</v>
      </c>
      <c r="C144" s="113">
        <f t="shared" ref="C144:C152" si="21">+B144*B144</f>
        <v>110.25</v>
      </c>
      <c r="D144" s="299">
        <v>1</v>
      </c>
      <c r="E144" s="113">
        <f t="shared" ref="E144:E152" si="22">+C144*3.14159*A144*D144</f>
        <v>692.720595</v>
      </c>
      <c r="F144" s="113">
        <f t="shared" ref="F144:F152" si="23">+E144*0.3048</f>
        <v>211.141237356</v>
      </c>
      <c r="G144" s="38">
        <v>1</v>
      </c>
      <c r="H144" s="38">
        <v>6.1666667000000004</v>
      </c>
      <c r="I144" s="113">
        <v>6.1666670000000003</v>
      </c>
      <c r="J144" s="113">
        <f>+G144*H144*I144</f>
        <v>38.027780038888906</v>
      </c>
      <c r="K144" s="113">
        <f>+J144*0.3048</f>
        <v>11.590867355853339</v>
      </c>
      <c r="L144" s="81">
        <v>0.95</v>
      </c>
      <c r="M144" s="113">
        <f>+G144*H144*I144*L144</f>
        <v>36.126391036944462</v>
      </c>
      <c r="N144" s="113">
        <f>+M144*0.3048</f>
        <v>11.011323988060672</v>
      </c>
      <c r="O144" s="38">
        <v>1</v>
      </c>
      <c r="P144" s="38">
        <v>11.5</v>
      </c>
      <c r="Q144" s="25">
        <v>40</v>
      </c>
      <c r="R144" s="25">
        <v>1</v>
      </c>
      <c r="S144" s="113">
        <f>+O144*P144*Q144*R144</f>
        <v>460</v>
      </c>
      <c r="T144" s="113">
        <f>+S144*0.3048</f>
        <v>140.208</v>
      </c>
      <c r="U144" s="113">
        <v>111</v>
      </c>
      <c r="V144" s="467">
        <f>+U144*0.3048</f>
        <v>33.832799999999999</v>
      </c>
      <c r="W144" s="71"/>
      <c r="X144" s="567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x14ac:dyDescent="0.15">
      <c r="A145" s="692">
        <v>6</v>
      </c>
      <c r="B145" s="597">
        <v>14.4166667</v>
      </c>
      <c r="C145" s="113">
        <f t="shared" si="21"/>
        <v>207.84027873888891</v>
      </c>
      <c r="D145" s="299">
        <v>1</v>
      </c>
      <c r="E145" s="113">
        <f t="shared" si="22"/>
        <v>3917.6936476998362</v>
      </c>
      <c r="F145" s="113">
        <f t="shared" si="23"/>
        <v>1194.1130238189101</v>
      </c>
      <c r="G145" s="38">
        <v>1</v>
      </c>
      <c r="H145" s="38">
        <v>6.1666667000000004</v>
      </c>
      <c r="I145" s="113">
        <v>6.1666670000000003</v>
      </c>
      <c r="J145" s="113">
        <f t="shared" ref="J145:J150" si="24">+G145*H145*I145</f>
        <v>38.027780038888906</v>
      </c>
      <c r="K145" s="113">
        <f t="shared" ref="K145:K150" si="25">+J145*0.3048</f>
        <v>11.590867355853339</v>
      </c>
      <c r="L145" s="81">
        <v>0.55000000000000004</v>
      </c>
      <c r="M145" s="113">
        <f t="shared" ref="M145:M150" si="26">+G145*H145*I145*L145</f>
        <v>20.915279021388901</v>
      </c>
      <c r="N145" s="113">
        <f t="shared" ref="N145:N150" si="27">+M145*0.3048</f>
        <v>6.3749770457193371</v>
      </c>
      <c r="O145" s="38">
        <v>1</v>
      </c>
      <c r="P145" s="38">
        <v>14.666700000000001</v>
      </c>
      <c r="Q145" s="25">
        <v>9</v>
      </c>
      <c r="R145" s="38">
        <v>0.8</v>
      </c>
      <c r="S145" s="113">
        <f>+O145*P145*Q145*R145</f>
        <v>105.60024000000001</v>
      </c>
      <c r="T145" s="113">
        <f>+S145*0.3048</f>
        <v>32.186953152000008</v>
      </c>
      <c r="U145" s="113">
        <v>53.833333000000003</v>
      </c>
      <c r="V145" s="467">
        <f>+U145*0.3048</f>
        <v>16.408399898400003</v>
      </c>
      <c r="W145" s="71"/>
      <c r="X145" s="567" t="s">
        <v>18</v>
      </c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x14ac:dyDescent="0.15">
      <c r="A146" s="692">
        <v>1</v>
      </c>
      <c r="B146" s="597">
        <v>10</v>
      </c>
      <c r="C146" s="113">
        <f t="shared" si="21"/>
        <v>100</v>
      </c>
      <c r="D146" s="299">
        <v>1</v>
      </c>
      <c r="E146" s="113">
        <f t="shared" si="22"/>
        <v>314.15899999999999</v>
      </c>
      <c r="F146" s="113">
        <f t="shared" si="23"/>
        <v>95.755663200000001</v>
      </c>
      <c r="G146" s="38">
        <v>1</v>
      </c>
      <c r="H146" s="38">
        <v>6.1666667000000004</v>
      </c>
      <c r="I146" s="113">
        <v>6.1666670000000003</v>
      </c>
      <c r="J146" s="113">
        <f t="shared" si="24"/>
        <v>38.027780038888906</v>
      </c>
      <c r="K146" s="113">
        <f t="shared" si="25"/>
        <v>11.590867355853339</v>
      </c>
      <c r="L146" s="81">
        <v>0.9</v>
      </c>
      <c r="M146" s="113">
        <f t="shared" si="26"/>
        <v>34.225002035000017</v>
      </c>
      <c r="N146" s="113">
        <f t="shared" si="27"/>
        <v>10.431780620268006</v>
      </c>
      <c r="O146" s="38">
        <v>1</v>
      </c>
      <c r="P146" s="38">
        <v>9</v>
      </c>
      <c r="Q146" s="25">
        <v>7</v>
      </c>
      <c r="R146" s="38">
        <v>0.85</v>
      </c>
      <c r="S146" s="113">
        <f>+O146*P146*Q146*R146</f>
        <v>53.55</v>
      </c>
      <c r="T146" s="113">
        <f>+S146*0.3048</f>
        <v>16.322040000000001</v>
      </c>
      <c r="U146" s="113">
        <v>42.5</v>
      </c>
      <c r="V146" s="467">
        <f>+U146*0.3048</f>
        <v>12.954000000000001</v>
      </c>
      <c r="W146" s="71"/>
      <c r="X146" s="567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x14ac:dyDescent="0.15">
      <c r="A147" s="692">
        <v>2</v>
      </c>
      <c r="B147" s="597">
        <v>12.4166667</v>
      </c>
      <c r="C147" s="113">
        <f t="shared" si="21"/>
        <v>154.17361193888891</v>
      </c>
      <c r="D147" s="299">
        <v>1</v>
      </c>
      <c r="E147" s="113">
        <f t="shared" si="22"/>
        <v>968.70055506218796</v>
      </c>
      <c r="F147" s="113">
        <f t="shared" si="23"/>
        <v>295.25992918295492</v>
      </c>
      <c r="G147" s="38">
        <v>1</v>
      </c>
      <c r="H147" s="38">
        <v>6.1666667000000004</v>
      </c>
      <c r="I147" s="113">
        <v>6.1666670000000003</v>
      </c>
      <c r="J147" s="113">
        <f t="shared" si="24"/>
        <v>38.027780038888906</v>
      </c>
      <c r="K147" s="113">
        <f t="shared" si="25"/>
        <v>11.590867355853339</v>
      </c>
      <c r="L147" s="812">
        <v>0.92</v>
      </c>
      <c r="M147" s="113">
        <f t="shared" si="26"/>
        <v>34.985557635777795</v>
      </c>
      <c r="N147" s="113">
        <f t="shared" si="27"/>
        <v>10.663597967385073</v>
      </c>
      <c r="O147" s="25">
        <v>2</v>
      </c>
      <c r="P147" s="25">
        <v>6.1666699999999999</v>
      </c>
      <c r="Q147" s="25">
        <v>6.1666600000000003</v>
      </c>
      <c r="R147" s="25">
        <v>0.92</v>
      </c>
      <c r="S147" s="113">
        <f>+O147*P147*Q147*R147</f>
        <v>69.971073288848004</v>
      </c>
      <c r="T147" s="113">
        <f>+S147*0.3048</f>
        <v>21.327183138440873</v>
      </c>
      <c r="U147" s="84">
        <f>SUM(U144:U146)</f>
        <v>207.33333300000001</v>
      </c>
      <c r="V147" s="84">
        <f>SUM(V144:V146)</f>
        <v>63.195199898399999</v>
      </c>
      <c r="W147" s="71"/>
      <c r="X147" s="567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x14ac:dyDescent="0.15">
      <c r="A148" s="692">
        <v>1</v>
      </c>
      <c r="B148" s="597">
        <v>7</v>
      </c>
      <c r="C148" s="113">
        <f t="shared" si="21"/>
        <v>49</v>
      </c>
      <c r="D148" s="299">
        <v>1</v>
      </c>
      <c r="E148" s="113">
        <f t="shared" si="22"/>
        <v>153.93790999999999</v>
      </c>
      <c r="F148" s="113">
        <f t="shared" si="23"/>
        <v>46.920274968000001</v>
      </c>
      <c r="G148" s="38">
        <v>2</v>
      </c>
      <c r="H148" s="38">
        <v>6.1666667000000004</v>
      </c>
      <c r="I148" s="113">
        <v>6.1666670000000003</v>
      </c>
      <c r="J148" s="113">
        <f t="shared" si="24"/>
        <v>76.055560077777812</v>
      </c>
      <c r="K148" s="113">
        <f t="shared" si="25"/>
        <v>23.181734711706678</v>
      </c>
      <c r="L148" s="812">
        <v>0.85</v>
      </c>
      <c r="M148" s="113">
        <f t="shared" si="26"/>
        <v>64.647226066111145</v>
      </c>
      <c r="N148" s="113">
        <f t="shared" si="27"/>
        <v>19.704474504950678</v>
      </c>
      <c r="O148" s="38"/>
      <c r="P148" s="38"/>
      <c r="Q148" s="38"/>
      <c r="R148" s="38"/>
      <c r="S148" s="84">
        <f>SUM(S144:S147)</f>
        <v>689.12131328884789</v>
      </c>
      <c r="T148" s="462">
        <f>SUM(T144:T147)</f>
        <v>210.04417629044087</v>
      </c>
      <c r="U148" s="38"/>
      <c r="V148" s="38"/>
      <c r="W148" s="71"/>
      <c r="X148" s="567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x14ac:dyDescent="0.15">
      <c r="A149" s="692">
        <v>1</v>
      </c>
      <c r="B149" s="597">
        <v>6.75</v>
      </c>
      <c r="C149" s="113">
        <f t="shared" si="21"/>
        <v>45.5625</v>
      </c>
      <c r="D149" s="299">
        <v>1</v>
      </c>
      <c r="E149" s="113">
        <f t="shared" si="22"/>
        <v>143.138694375</v>
      </c>
      <c r="F149" s="113">
        <f t="shared" si="23"/>
        <v>43.628674045500006</v>
      </c>
      <c r="G149" s="38">
        <v>3</v>
      </c>
      <c r="H149" s="314">
        <v>6.0833329999999997</v>
      </c>
      <c r="I149" s="314">
        <v>6.0833329999999997</v>
      </c>
      <c r="J149" s="113">
        <f t="shared" si="24"/>
        <v>111.02082116666699</v>
      </c>
      <c r="K149" s="113">
        <f t="shared" si="25"/>
        <v>33.839146291600102</v>
      </c>
      <c r="L149" s="812">
        <v>0.92</v>
      </c>
      <c r="M149" s="113">
        <f t="shared" si="26"/>
        <v>102.13915547333363</v>
      </c>
      <c r="N149" s="113">
        <f t="shared" si="27"/>
        <v>31.132014588272092</v>
      </c>
      <c r="O149" s="38"/>
      <c r="P149" s="38"/>
      <c r="Q149" s="38"/>
      <c r="R149" s="38"/>
      <c r="S149" s="38"/>
      <c r="T149" s="38"/>
      <c r="U149" s="71"/>
      <c r="V149" s="71"/>
      <c r="W149" s="71"/>
      <c r="X149" s="567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x14ac:dyDescent="0.15">
      <c r="A150" s="692">
        <v>1</v>
      </c>
      <c r="B150" s="597">
        <v>30</v>
      </c>
      <c r="C150" s="113">
        <f t="shared" si="21"/>
        <v>900</v>
      </c>
      <c r="D150" s="299">
        <v>1</v>
      </c>
      <c r="E150" s="113">
        <f t="shared" si="22"/>
        <v>2827.431</v>
      </c>
      <c r="F150" s="113">
        <f t="shared" si="23"/>
        <v>861.80096880000008</v>
      </c>
      <c r="G150" s="38">
        <v>1</v>
      </c>
      <c r="H150" s="314">
        <v>6.0833329999999997</v>
      </c>
      <c r="I150" s="314">
        <v>6.0833329999999997</v>
      </c>
      <c r="J150" s="113">
        <f t="shared" si="24"/>
        <v>37.006940388888992</v>
      </c>
      <c r="K150" s="113">
        <f t="shared" si="25"/>
        <v>11.279715430533365</v>
      </c>
      <c r="L150" s="812">
        <v>0.4</v>
      </c>
      <c r="M150" s="113">
        <f t="shared" si="26"/>
        <v>14.802776155555598</v>
      </c>
      <c r="N150" s="113">
        <f t="shared" si="27"/>
        <v>4.5118861722133463</v>
      </c>
      <c r="O150" s="38"/>
      <c r="P150" s="38"/>
      <c r="Q150" s="38"/>
      <c r="R150" s="38"/>
      <c r="S150" s="38"/>
      <c r="T150" s="38"/>
      <c r="U150" s="71"/>
      <c r="V150" s="71"/>
      <c r="W150" s="71"/>
      <c r="X150" s="567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x14ac:dyDescent="0.15">
      <c r="A151" s="692">
        <v>1</v>
      </c>
      <c r="B151" s="597">
        <v>14.83333</v>
      </c>
      <c r="C151" s="113">
        <f t="shared" si="21"/>
        <v>220.0276788889</v>
      </c>
      <c r="D151" s="299">
        <v>1</v>
      </c>
      <c r="E151" s="113">
        <f t="shared" si="22"/>
        <v>691.23675572057937</v>
      </c>
      <c r="F151" s="113">
        <f t="shared" si="23"/>
        <v>210.68896314363261</v>
      </c>
      <c r="G151" s="113" t="s">
        <v>18</v>
      </c>
      <c r="H151" s="299" t="s">
        <v>18</v>
      </c>
      <c r="I151" s="113"/>
      <c r="J151" s="84"/>
      <c r="K151" s="84"/>
      <c r="L151" s="38"/>
      <c r="M151" s="84">
        <f>SUM(M144:M150)</f>
        <v>307.84138742411153</v>
      </c>
      <c r="N151" s="84">
        <f>SUM(N144:N150)</f>
        <v>93.830054886869206</v>
      </c>
      <c r="O151" s="38"/>
      <c r="P151" s="38"/>
      <c r="Q151" s="38"/>
      <c r="R151" s="38"/>
      <c r="S151" s="38"/>
      <c r="T151" s="38"/>
      <c r="U151" s="71"/>
      <c r="V151" s="71"/>
      <c r="W151" s="71"/>
      <c r="X151" s="567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x14ac:dyDescent="0.15">
      <c r="A152" s="692">
        <v>1</v>
      </c>
      <c r="B152" s="597">
        <v>26</v>
      </c>
      <c r="C152" s="113">
        <f t="shared" si="21"/>
        <v>676</v>
      </c>
      <c r="D152" s="299">
        <v>1</v>
      </c>
      <c r="E152" s="113">
        <f t="shared" si="22"/>
        <v>2123.7148400000001</v>
      </c>
      <c r="F152" s="113">
        <f t="shared" si="23"/>
        <v>647.30828323200001</v>
      </c>
      <c r="G152" s="38"/>
      <c r="H152" s="113"/>
      <c r="I152" s="113" t="s">
        <v>18</v>
      </c>
      <c r="J152" s="84"/>
      <c r="K152" s="84"/>
      <c r="L152" s="113" t="s">
        <v>18</v>
      </c>
      <c r="M152" s="84"/>
      <c r="N152" s="84"/>
      <c r="O152" s="38"/>
      <c r="P152" s="38"/>
      <c r="Q152" s="38"/>
      <c r="R152" s="38"/>
      <c r="S152" s="38"/>
      <c r="T152" s="38"/>
      <c r="U152" s="71" t="s">
        <v>18</v>
      </c>
      <c r="V152" s="71"/>
      <c r="W152" s="71"/>
      <c r="X152" s="567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ht="14" thickBot="1" x14ac:dyDescent="0.2">
      <c r="A153" s="130"/>
      <c r="B153" s="211"/>
      <c r="C153" s="38"/>
      <c r="D153" s="38"/>
      <c r="E153" s="84">
        <f>SUM(E144:E152)</f>
        <v>11832.732997857604</v>
      </c>
      <c r="F153" s="462">
        <f>SUM(F144:F152)</f>
        <v>3606.6170177469976</v>
      </c>
      <c r="G153" s="38"/>
      <c r="H153" s="113"/>
      <c r="I153" s="113"/>
      <c r="J153" s="84"/>
      <c r="K153" s="84"/>
      <c r="L153" s="113" t="s">
        <v>18</v>
      </c>
      <c r="M153" s="84"/>
      <c r="N153" s="84"/>
      <c r="O153" s="38"/>
      <c r="P153" s="113" t="s">
        <v>18</v>
      </c>
      <c r="Q153" s="38"/>
      <c r="R153" s="38"/>
      <c r="S153" s="38"/>
      <c r="T153" s="38"/>
      <c r="U153" s="71"/>
      <c r="V153" s="71"/>
      <c r="W153" s="71" t="s">
        <v>18</v>
      </c>
      <c r="X153" s="567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ht="14" thickBot="1" x14ac:dyDescent="0.2">
      <c r="A154" s="647" t="s">
        <v>516</v>
      </c>
      <c r="B154" s="597"/>
      <c r="C154" s="38"/>
      <c r="D154" s="25"/>
      <c r="E154" s="113" t="s">
        <v>18</v>
      </c>
      <c r="F154" s="38"/>
      <c r="G154" s="38"/>
      <c r="H154" s="113"/>
      <c r="I154" s="113"/>
      <c r="J154" s="84"/>
      <c r="K154" s="84"/>
      <c r="L154" s="38"/>
      <c r="M154" s="84"/>
      <c r="N154" s="84"/>
      <c r="O154" s="38"/>
      <c r="P154" s="113"/>
      <c r="Q154" s="38"/>
      <c r="R154" s="38"/>
      <c r="S154" s="38"/>
      <c r="T154" s="38"/>
      <c r="U154" s="71"/>
      <c r="V154" s="71"/>
      <c r="W154" s="71"/>
      <c r="X154" s="567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x14ac:dyDescent="0.15">
      <c r="A155" s="692">
        <v>1</v>
      </c>
      <c r="B155" s="597">
        <v>15</v>
      </c>
      <c r="C155" s="113">
        <f t="shared" ref="C155:C160" si="28">+B155*B155</f>
        <v>225</v>
      </c>
      <c r="D155" s="25">
        <v>1</v>
      </c>
      <c r="E155" s="113">
        <f t="shared" ref="E155:E160" si="29">+C155*3.14159*A155*D155</f>
        <v>706.85775000000001</v>
      </c>
      <c r="F155" s="113">
        <f t="shared" ref="F155:F160" si="30">+E155*0.3048</f>
        <v>215.45024220000002</v>
      </c>
      <c r="G155" s="38">
        <v>2</v>
      </c>
      <c r="H155" s="113">
        <v>6.1666670000000003</v>
      </c>
      <c r="I155" s="113">
        <v>6.1666670000000003</v>
      </c>
      <c r="J155" s="113">
        <f>+G155*H155*I155</f>
        <v>76.055563777778005</v>
      </c>
      <c r="K155" s="113">
        <f>+J155*0.3048</f>
        <v>23.181735839466736</v>
      </c>
      <c r="L155" s="81">
        <v>0.92</v>
      </c>
      <c r="M155" s="113">
        <f>+G155*H155*I155*L155</f>
        <v>69.971118675555772</v>
      </c>
      <c r="N155" s="113">
        <f t="shared" ref="N155:N160" si="31">+M155*0.3048</f>
        <v>21.327196972309402</v>
      </c>
      <c r="O155" s="38">
        <v>1</v>
      </c>
      <c r="P155" s="113">
        <v>5.75</v>
      </c>
      <c r="Q155" s="299">
        <v>3.0833330000000001</v>
      </c>
      <c r="R155" s="299">
        <v>0.7</v>
      </c>
      <c r="S155" s="113">
        <f>+O155*P155*Q155*R155</f>
        <v>12.410415324999999</v>
      </c>
      <c r="T155" s="113">
        <f>+S155*0.3048</f>
        <v>3.7826945910599998</v>
      </c>
      <c r="U155" s="113">
        <v>10.75</v>
      </c>
      <c r="V155" s="467">
        <f>+U155*0.3048</f>
        <v>3.2766000000000002</v>
      </c>
      <c r="W155" s="71"/>
      <c r="X155" s="567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x14ac:dyDescent="0.15">
      <c r="A156" s="692">
        <v>2</v>
      </c>
      <c r="B156" s="597">
        <v>13.5</v>
      </c>
      <c r="C156" s="113">
        <f t="shared" si="28"/>
        <v>182.25</v>
      </c>
      <c r="D156" s="25">
        <v>1</v>
      </c>
      <c r="E156" s="113">
        <f t="shared" si="29"/>
        <v>1145.109555</v>
      </c>
      <c r="F156" s="113">
        <f t="shared" si="30"/>
        <v>349.02939236400005</v>
      </c>
      <c r="G156" s="38">
        <v>2</v>
      </c>
      <c r="H156" s="113">
        <v>6.25</v>
      </c>
      <c r="I156" s="113">
        <v>6.25</v>
      </c>
      <c r="J156" s="113">
        <f>+G156*H156*I156</f>
        <v>78.125</v>
      </c>
      <c r="K156" s="113">
        <f>+J156*0.3048</f>
        <v>23.8125</v>
      </c>
      <c r="L156" s="81">
        <v>0.92</v>
      </c>
      <c r="M156" s="113">
        <f>+G156*H156*I156*L156</f>
        <v>71.875</v>
      </c>
      <c r="N156" s="113">
        <f t="shared" si="31"/>
        <v>21.907500000000002</v>
      </c>
      <c r="O156" s="38"/>
      <c r="P156" s="113"/>
      <c r="Q156" s="38"/>
      <c r="R156" s="38"/>
      <c r="S156" s="84">
        <f>SUM(S154:S155)</f>
        <v>12.410415324999999</v>
      </c>
      <c r="T156" s="462">
        <f>SUM(T154:T155)</f>
        <v>3.7826945910599998</v>
      </c>
      <c r="U156" s="113">
        <v>113.16667</v>
      </c>
      <c r="V156" s="467">
        <f>+U156*0.3048</f>
        <v>34.493201016</v>
      </c>
      <c r="W156" s="71"/>
      <c r="X156" s="567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x14ac:dyDescent="0.15">
      <c r="A157" s="692">
        <v>1</v>
      </c>
      <c r="B157" s="597">
        <v>13</v>
      </c>
      <c r="C157" s="113">
        <f t="shared" si="28"/>
        <v>169</v>
      </c>
      <c r="D157" s="25">
        <v>1</v>
      </c>
      <c r="E157" s="113">
        <f t="shared" si="29"/>
        <v>530.92871000000002</v>
      </c>
      <c r="F157" s="113">
        <f t="shared" si="30"/>
        <v>161.827070808</v>
      </c>
      <c r="G157" s="38">
        <v>1</v>
      </c>
      <c r="H157" s="113">
        <v>6.0833332999999996</v>
      </c>
      <c r="I157" s="113">
        <v>6.0833329999999997</v>
      </c>
      <c r="J157" s="113">
        <f>+G157*H157*I157</f>
        <v>37.006942213888898</v>
      </c>
      <c r="K157" s="113">
        <f>+J157*0.3048</f>
        <v>11.279715986793336</v>
      </c>
      <c r="L157" s="81">
        <v>0.3</v>
      </c>
      <c r="M157" s="113">
        <f>+G157*H157*I157*L157</f>
        <v>11.102082664166669</v>
      </c>
      <c r="N157" s="113">
        <f t="shared" si="31"/>
        <v>3.3839147960380012</v>
      </c>
      <c r="O157" s="38"/>
      <c r="P157" s="113"/>
      <c r="Q157" s="38"/>
      <c r="R157" s="38"/>
      <c r="S157" s="38"/>
      <c r="T157" s="38"/>
      <c r="U157" s="113">
        <v>85.5</v>
      </c>
      <c r="V157" s="467">
        <f>+U157*0.3048</f>
        <v>26.060400000000001</v>
      </c>
      <c r="W157" s="71"/>
      <c r="X157" s="567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x14ac:dyDescent="0.15">
      <c r="A158" s="692">
        <v>1</v>
      </c>
      <c r="B158" s="597">
        <v>21</v>
      </c>
      <c r="C158" s="113">
        <f t="shared" si="28"/>
        <v>441</v>
      </c>
      <c r="D158" s="25">
        <v>1</v>
      </c>
      <c r="E158" s="113">
        <f t="shared" si="29"/>
        <v>1385.44119</v>
      </c>
      <c r="F158" s="113">
        <f t="shared" si="30"/>
        <v>422.28247471200001</v>
      </c>
      <c r="G158" s="38">
        <v>1</v>
      </c>
      <c r="H158" s="299">
        <v>6.0833332999999996</v>
      </c>
      <c r="I158" s="299">
        <v>6.0833329999999997</v>
      </c>
      <c r="J158" s="113">
        <f>+G158*H158*I158</f>
        <v>37.006942213888898</v>
      </c>
      <c r="K158" s="113">
        <f>+J158*0.3048</f>
        <v>11.279715986793336</v>
      </c>
      <c r="L158" s="812">
        <v>0.95</v>
      </c>
      <c r="M158" s="113">
        <f>+G158*H158*I158*L158</f>
        <v>35.156595103194455</v>
      </c>
      <c r="N158" s="113">
        <f t="shared" si="31"/>
        <v>10.715730187453671</v>
      </c>
      <c r="O158" s="38"/>
      <c r="P158" s="113"/>
      <c r="Q158" s="38"/>
      <c r="R158" s="38"/>
      <c r="S158" s="38"/>
      <c r="T158" s="38"/>
      <c r="U158" s="84">
        <f>SUM(U155:U157)</f>
        <v>209.41667000000001</v>
      </c>
      <c r="V158" s="84">
        <f>SUM(V155:V157)</f>
        <v>63.830201016000004</v>
      </c>
      <c r="W158" s="71"/>
      <c r="X158" s="567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x14ac:dyDescent="0.15">
      <c r="A159" s="692">
        <v>1</v>
      </c>
      <c r="B159" s="597">
        <v>24</v>
      </c>
      <c r="C159" s="113">
        <f t="shared" si="28"/>
        <v>576</v>
      </c>
      <c r="D159" s="25">
        <v>1</v>
      </c>
      <c r="E159" s="113">
        <f t="shared" si="29"/>
        <v>1809.55584</v>
      </c>
      <c r="F159" s="113">
        <f t="shared" si="30"/>
        <v>551.55262003200005</v>
      </c>
      <c r="G159" s="38">
        <v>1</v>
      </c>
      <c r="H159" s="299">
        <v>9.25</v>
      </c>
      <c r="I159" s="299">
        <v>6.0833329999999997</v>
      </c>
      <c r="J159" s="113">
        <f>+G159*H159*I159</f>
        <v>56.270830249999996</v>
      </c>
      <c r="K159" s="113">
        <f>+J159*0.3048</f>
        <v>17.151349060200001</v>
      </c>
      <c r="L159" s="812">
        <v>0.91</v>
      </c>
      <c r="M159" s="113">
        <f>+G159*H159*I159*L159</f>
        <v>51.206455527499998</v>
      </c>
      <c r="N159" s="113">
        <f t="shared" si="31"/>
        <v>15.607727644782001</v>
      </c>
      <c r="O159" s="38"/>
      <c r="P159" s="113"/>
      <c r="Q159" s="38"/>
      <c r="R159" s="38"/>
      <c r="S159" s="38"/>
      <c r="T159" s="38"/>
      <c r="U159" s="71"/>
      <c r="V159" s="71"/>
      <c r="W159" s="71"/>
      <c r="X159" s="567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x14ac:dyDescent="0.15">
      <c r="A160" s="692">
        <v>1</v>
      </c>
      <c r="B160" s="597">
        <v>12</v>
      </c>
      <c r="C160" s="113">
        <f t="shared" si="28"/>
        <v>144</v>
      </c>
      <c r="D160" s="25">
        <v>1</v>
      </c>
      <c r="E160" s="113">
        <f t="shared" si="29"/>
        <v>452.38896</v>
      </c>
      <c r="F160" s="113">
        <f t="shared" si="30"/>
        <v>137.88815500800001</v>
      </c>
      <c r="G160" s="38"/>
      <c r="H160" s="113"/>
      <c r="I160" s="113"/>
      <c r="J160" s="84"/>
      <c r="K160" s="84"/>
      <c r="L160" s="81"/>
      <c r="M160" s="84">
        <f>SUM(M155:M159)</f>
        <v>239.31125197041689</v>
      </c>
      <c r="N160" s="84">
        <f t="shared" si="31"/>
        <v>72.942069600583068</v>
      </c>
      <c r="O160" s="38"/>
      <c r="P160" s="113"/>
      <c r="Q160" s="38"/>
      <c r="R160" s="38"/>
      <c r="S160" s="38"/>
      <c r="T160" s="38"/>
      <c r="U160" s="71"/>
      <c r="V160" s="71"/>
      <c r="W160" s="71"/>
      <c r="X160" s="567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ht="14" thickBot="1" x14ac:dyDescent="0.2">
      <c r="A161" s="692"/>
      <c r="B161" s="597"/>
      <c r="C161" s="38"/>
      <c r="D161" s="25"/>
      <c r="E161" s="84">
        <f>SUM(E155:E160)</f>
        <v>6030.2820050000009</v>
      </c>
      <c r="F161" s="84">
        <f>SUM(F155:F160)</f>
        <v>1838.0299551240003</v>
      </c>
      <c r="G161" s="38"/>
      <c r="H161" s="113"/>
      <c r="I161" s="113"/>
      <c r="J161" s="84" t="s">
        <v>18</v>
      </c>
      <c r="K161" s="84"/>
      <c r="L161" s="81"/>
      <c r="M161" s="84"/>
      <c r="N161" s="84" t="s">
        <v>18</v>
      </c>
      <c r="O161" s="38"/>
      <c r="P161" s="113"/>
      <c r="Q161" s="38"/>
      <c r="R161" s="38"/>
      <c r="S161" s="38"/>
      <c r="T161" s="38"/>
      <c r="U161" s="71"/>
      <c r="V161" s="71"/>
      <c r="W161" s="71"/>
      <c r="X161" s="567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ht="14" thickBot="1" x14ac:dyDescent="0.2">
      <c r="A162" s="647" t="s">
        <v>518</v>
      </c>
      <c r="B162" s="597"/>
      <c r="C162" s="38"/>
      <c r="D162" s="25"/>
      <c r="E162" s="84"/>
      <c r="F162" s="84"/>
      <c r="G162" s="38"/>
      <c r="H162" s="113"/>
      <c r="I162" s="113"/>
      <c r="J162" s="84"/>
      <c r="K162" s="84"/>
      <c r="L162" s="135" t="s">
        <v>18</v>
      </c>
      <c r="M162" s="84"/>
      <c r="N162" s="84"/>
      <c r="O162" s="38"/>
      <c r="P162" s="113"/>
      <c r="Q162" s="38"/>
      <c r="R162" s="113" t="s">
        <v>18</v>
      </c>
      <c r="S162" s="38"/>
      <c r="T162" s="38"/>
      <c r="U162" s="71"/>
      <c r="V162" s="71"/>
      <c r="W162" s="71"/>
      <c r="X162" s="567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x14ac:dyDescent="0.15">
      <c r="A163" s="692">
        <v>1</v>
      </c>
      <c r="B163" s="597">
        <v>24</v>
      </c>
      <c r="C163" s="113">
        <f>+B163*B163</f>
        <v>576</v>
      </c>
      <c r="D163" s="25">
        <v>1</v>
      </c>
      <c r="E163" s="113">
        <f>+C163*3.14159*A163*D163</f>
        <v>1809.55584</v>
      </c>
      <c r="F163" s="113">
        <f>+E163*0.3048</f>
        <v>551.55262003200005</v>
      </c>
      <c r="G163" s="113">
        <v>1</v>
      </c>
      <c r="H163" s="113">
        <v>6.25</v>
      </c>
      <c r="I163" s="113">
        <v>6.25</v>
      </c>
      <c r="J163" s="113">
        <f>+G163*H163*I163</f>
        <v>39.0625</v>
      </c>
      <c r="K163" s="113">
        <f>+J163*0.3048</f>
        <v>11.90625</v>
      </c>
      <c r="L163" s="81">
        <v>0.95</v>
      </c>
      <c r="M163" s="113">
        <f>+G163*H163*I163*L163</f>
        <v>37.109375</v>
      </c>
      <c r="N163" s="113">
        <f>+M163*0.3048</f>
        <v>11.310937500000001</v>
      </c>
      <c r="O163" s="38"/>
      <c r="P163" s="113"/>
      <c r="Q163" s="38"/>
      <c r="R163" s="38"/>
      <c r="S163" s="38"/>
      <c r="T163" s="38"/>
      <c r="U163" s="84">
        <v>86.25</v>
      </c>
      <c r="V163" s="463">
        <f>+U163*0.3048</f>
        <v>26.289000000000001</v>
      </c>
      <c r="W163" s="71"/>
      <c r="X163" s="567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x14ac:dyDescent="0.15">
      <c r="A164" s="692">
        <v>1</v>
      </c>
      <c r="B164" s="597">
        <v>8.3333300000000001</v>
      </c>
      <c r="C164" s="113">
        <f>+B164*B164</f>
        <v>69.444388888900008</v>
      </c>
      <c r="D164" s="25">
        <v>1</v>
      </c>
      <c r="E164" s="113">
        <f>+C164*3.14159*A164*D164</f>
        <v>218.16579768947938</v>
      </c>
      <c r="F164" s="113">
        <f>+E164*0.3048</f>
        <v>66.496935135753318</v>
      </c>
      <c r="G164" s="38">
        <v>1</v>
      </c>
      <c r="H164" s="113">
        <v>6.25</v>
      </c>
      <c r="I164" s="113">
        <v>6.25</v>
      </c>
      <c r="J164" s="113">
        <f>+G164*H164*I164</f>
        <v>39.0625</v>
      </c>
      <c r="K164" s="113">
        <f>+J164*0.3048</f>
        <v>11.90625</v>
      </c>
      <c r="L164" s="81">
        <v>0.96</v>
      </c>
      <c r="M164" s="113">
        <f>+G164*H164*I164*L164</f>
        <v>37.5</v>
      </c>
      <c r="N164" s="113">
        <f>+M164*0.3048</f>
        <v>11.43</v>
      </c>
      <c r="O164" s="38"/>
      <c r="P164" s="113"/>
      <c r="Q164" s="38"/>
      <c r="R164" s="38"/>
      <c r="S164" s="38"/>
      <c r="T164" s="38"/>
      <c r="U164" s="71"/>
      <c r="V164" s="71"/>
      <c r="W164" s="71"/>
      <c r="X164" s="567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x14ac:dyDescent="0.15">
      <c r="A165" s="692">
        <v>2</v>
      </c>
      <c r="B165" s="597">
        <v>24</v>
      </c>
      <c r="C165" s="113">
        <f>+B165*B165</f>
        <v>576</v>
      </c>
      <c r="D165" s="299">
        <v>1</v>
      </c>
      <c r="E165" s="113">
        <f>+C165*3.14159*A165*D165</f>
        <v>3619.11168</v>
      </c>
      <c r="F165" s="113">
        <f>+E165*0.3048</f>
        <v>1103.1052400640001</v>
      </c>
      <c r="G165" s="38">
        <v>2</v>
      </c>
      <c r="H165" s="113">
        <v>6.25</v>
      </c>
      <c r="I165" s="113">
        <v>6.25</v>
      </c>
      <c r="J165" s="113">
        <f>+G165*H165*I165</f>
        <v>78.125</v>
      </c>
      <c r="K165" s="113">
        <f>+J165*0.3048</f>
        <v>23.8125</v>
      </c>
      <c r="L165" s="81">
        <v>0.85</v>
      </c>
      <c r="M165" s="113">
        <f>+G165*H165*I165*L165</f>
        <v>66.40625</v>
      </c>
      <c r="N165" s="113">
        <f>+M165*0.3048</f>
        <v>20.240625000000001</v>
      </c>
      <c r="O165" s="38"/>
      <c r="P165" s="113"/>
      <c r="Q165" s="38"/>
      <c r="R165" s="38"/>
      <c r="S165" s="38"/>
      <c r="T165" s="38"/>
      <c r="U165" s="71"/>
      <c r="V165" s="71"/>
      <c r="W165" s="71"/>
      <c r="X165" s="567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x14ac:dyDescent="0.15">
      <c r="A166" s="692">
        <v>1</v>
      </c>
      <c r="B166" s="597">
        <v>14</v>
      </c>
      <c r="C166" s="113">
        <f>+B166*B166</f>
        <v>196</v>
      </c>
      <c r="D166" s="299">
        <v>1</v>
      </c>
      <c r="E166" s="113">
        <f>+C166*3.14159*A166*D166</f>
        <v>615.75163999999995</v>
      </c>
      <c r="F166" s="113">
        <f>+E166*0.3048</f>
        <v>187.681099872</v>
      </c>
      <c r="G166" s="38">
        <v>1</v>
      </c>
      <c r="H166" s="113">
        <v>6.25</v>
      </c>
      <c r="I166" s="113">
        <v>6.25</v>
      </c>
      <c r="J166" s="113">
        <f>+G166*H166*I166</f>
        <v>39.0625</v>
      </c>
      <c r="K166" s="113">
        <f>+J166*0.3048</f>
        <v>11.90625</v>
      </c>
      <c r="L166" s="812">
        <v>0.6</v>
      </c>
      <c r="M166" s="113">
        <f>+G166*H166*I166*L166</f>
        <v>23.4375</v>
      </c>
      <c r="N166" s="113">
        <f>+M166*0.3048</f>
        <v>7.1437500000000007</v>
      </c>
      <c r="O166" s="38"/>
      <c r="P166" s="113"/>
      <c r="Q166" s="38"/>
      <c r="R166" s="38"/>
      <c r="S166" s="38"/>
      <c r="T166" s="38"/>
      <c r="U166" s="71"/>
      <c r="V166" s="71"/>
      <c r="W166" s="71"/>
      <c r="X166" s="567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x14ac:dyDescent="0.15">
      <c r="A167" s="692">
        <v>1</v>
      </c>
      <c r="B167" s="597">
        <v>18.16667</v>
      </c>
      <c r="C167" s="113">
        <f>+B167*B167</f>
        <v>330.02789888889998</v>
      </c>
      <c r="D167" s="299">
        <v>1</v>
      </c>
      <c r="E167" s="113">
        <f>+C167*3.14159*A167*D167</f>
        <v>1036.8123468703793</v>
      </c>
      <c r="F167" s="113">
        <f>+E167*0.3048</f>
        <v>316.02040332609164</v>
      </c>
      <c r="G167" s="38"/>
      <c r="H167" s="113"/>
      <c r="I167" s="113"/>
      <c r="J167" s="84"/>
      <c r="K167" s="84"/>
      <c r="L167" s="81"/>
      <c r="M167" s="84">
        <f>SUM(M163:M166)</f>
        <v>164.453125</v>
      </c>
      <c r="N167" s="84">
        <f>SUM(N163:N166)</f>
        <v>50.125312500000007</v>
      </c>
      <c r="O167" s="38"/>
      <c r="P167" s="113"/>
      <c r="Q167" s="38"/>
      <c r="R167" s="38"/>
      <c r="S167" s="38"/>
      <c r="T167" s="38"/>
      <c r="U167" s="71"/>
      <c r="V167" s="71" t="s">
        <v>18</v>
      </c>
      <c r="W167" s="71"/>
      <c r="X167" s="567" t="s">
        <v>18</v>
      </c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ht="14" thickBot="1" x14ac:dyDescent="0.2">
      <c r="A168" s="661"/>
      <c r="B168" s="597"/>
      <c r="C168" s="38"/>
      <c r="D168" s="25"/>
      <c r="E168" s="84">
        <f>SUM(E163:E167)</f>
        <v>7299.3973045598595</v>
      </c>
      <c r="F168" s="84">
        <f>SUM(F163:F167)</f>
        <v>2224.8562984298451</v>
      </c>
      <c r="G168" s="38"/>
      <c r="H168" s="113"/>
      <c r="I168" s="113"/>
      <c r="J168" s="84"/>
      <c r="K168" s="84"/>
      <c r="L168" s="81"/>
      <c r="M168" s="84"/>
      <c r="N168" s="84"/>
      <c r="O168" s="38"/>
      <c r="P168" s="113"/>
      <c r="Q168" s="38"/>
      <c r="R168" s="38"/>
      <c r="S168" s="38"/>
      <c r="T168" s="38"/>
      <c r="U168" s="71"/>
      <c r="V168" s="71"/>
      <c r="W168" s="71"/>
      <c r="X168" s="567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ht="14" thickBot="1" x14ac:dyDescent="0.2">
      <c r="A169" s="647" t="s">
        <v>561</v>
      </c>
      <c r="B169" s="597"/>
      <c r="C169" s="38"/>
      <c r="D169" s="25"/>
      <c r="E169" s="84"/>
      <c r="F169" s="84"/>
      <c r="G169" s="38"/>
      <c r="H169" s="113" t="s">
        <v>18</v>
      </c>
      <c r="I169" s="113"/>
      <c r="J169" s="84"/>
      <c r="K169" s="84"/>
      <c r="L169" s="81"/>
      <c r="M169" s="84"/>
      <c r="N169" s="84"/>
      <c r="O169" s="113" t="s">
        <v>18</v>
      </c>
      <c r="P169" s="113"/>
      <c r="Q169" s="38"/>
      <c r="R169" s="38"/>
      <c r="S169" s="38"/>
      <c r="T169" s="38"/>
      <c r="U169" s="71"/>
      <c r="V169" s="71"/>
      <c r="W169" s="71"/>
      <c r="X169" s="567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x14ac:dyDescent="0.15">
      <c r="A170" s="692">
        <v>2</v>
      </c>
      <c r="B170" s="597">
        <v>24</v>
      </c>
      <c r="C170" s="113">
        <f>+B170*B170</f>
        <v>576</v>
      </c>
      <c r="D170" s="25">
        <v>1</v>
      </c>
      <c r="E170" s="113">
        <f>+C170*3.14159*A170*D170</f>
        <v>3619.11168</v>
      </c>
      <c r="F170" s="113">
        <f>+E170*0.3048</f>
        <v>1103.1052400640001</v>
      </c>
      <c r="G170" s="38">
        <v>2</v>
      </c>
      <c r="H170" s="113">
        <v>6.25</v>
      </c>
      <c r="I170" s="113">
        <v>6.25</v>
      </c>
      <c r="J170" s="113">
        <f>+G170*H170*I170</f>
        <v>78.125</v>
      </c>
      <c r="K170" s="113">
        <f>+J170*0.3048</f>
        <v>23.8125</v>
      </c>
      <c r="L170" s="81">
        <v>0.6</v>
      </c>
      <c r="M170" s="113">
        <f>+G170*H170*I170*L170</f>
        <v>46.875</v>
      </c>
      <c r="N170" s="113">
        <f>+M170*0.3048</f>
        <v>14.287500000000001</v>
      </c>
      <c r="O170" s="113" t="s">
        <v>18</v>
      </c>
      <c r="P170" s="113"/>
      <c r="Q170" s="38"/>
      <c r="R170" s="38"/>
      <c r="S170" s="38"/>
      <c r="T170" s="38"/>
      <c r="U170" s="84">
        <v>90</v>
      </c>
      <c r="V170" s="463">
        <f>+U170*0.3048</f>
        <v>27.432000000000002</v>
      </c>
      <c r="W170" s="71"/>
      <c r="X170" s="567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x14ac:dyDescent="0.15">
      <c r="A171" s="692">
        <v>1</v>
      </c>
      <c r="B171" s="597">
        <v>8.3333399999999997</v>
      </c>
      <c r="C171" s="113">
        <f>+B171*B171</f>
        <v>69.44455555559999</v>
      </c>
      <c r="D171" s="25">
        <v>1</v>
      </c>
      <c r="E171" s="113">
        <f>+C171*3.14159*A171*D171</f>
        <v>218.16632128791736</v>
      </c>
      <c r="F171" s="113">
        <f>+E171*0.3048</f>
        <v>66.497094728557215</v>
      </c>
      <c r="G171" s="38">
        <v>1</v>
      </c>
      <c r="H171" s="113">
        <v>6.25</v>
      </c>
      <c r="I171" s="113">
        <v>6.25</v>
      </c>
      <c r="J171" s="113">
        <f>+G171*H171*I171</f>
        <v>39.0625</v>
      </c>
      <c r="K171" s="113">
        <f>+J171*0.3048</f>
        <v>11.90625</v>
      </c>
      <c r="L171" s="81">
        <v>0.9</v>
      </c>
      <c r="M171" s="113">
        <f>+G171*H171*I171*L171</f>
        <v>35.15625</v>
      </c>
      <c r="N171" s="113">
        <f>+M171*0.3048</f>
        <v>10.715625000000001</v>
      </c>
      <c r="O171" s="113" t="s">
        <v>18</v>
      </c>
      <c r="P171" s="113"/>
      <c r="Q171" s="38"/>
      <c r="R171" s="38"/>
      <c r="S171" s="38"/>
      <c r="T171" s="38"/>
      <c r="U171" s="71"/>
      <c r="V171" s="71"/>
      <c r="W171" s="71"/>
      <c r="X171" s="567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x14ac:dyDescent="0.15">
      <c r="A172" s="692">
        <v>2</v>
      </c>
      <c r="B172" s="597">
        <v>14</v>
      </c>
      <c r="C172" s="113">
        <f>+B172*B172</f>
        <v>196</v>
      </c>
      <c r="D172" s="25">
        <v>0.5</v>
      </c>
      <c r="E172" s="113">
        <f>+C172*3.14159*A172*D172</f>
        <v>615.75163999999995</v>
      </c>
      <c r="F172" s="113">
        <f>+E172*0.3048</f>
        <v>187.681099872</v>
      </c>
      <c r="G172" s="38">
        <v>2</v>
      </c>
      <c r="H172" s="113" t="s">
        <v>18</v>
      </c>
      <c r="I172" s="113" t="s">
        <v>18</v>
      </c>
      <c r="J172" s="113" t="s">
        <v>18</v>
      </c>
      <c r="K172" s="113" t="s">
        <v>18</v>
      </c>
      <c r="L172" s="135" t="s">
        <v>18</v>
      </c>
      <c r="M172" s="84">
        <f>SUM(M170:M171)</f>
        <v>82.03125</v>
      </c>
      <c r="N172" s="84">
        <f>+M172*0.3048</f>
        <v>25.003125000000001</v>
      </c>
      <c r="O172" s="38"/>
      <c r="P172" s="113"/>
      <c r="Q172" s="38"/>
      <c r="R172" s="38"/>
      <c r="S172" s="38"/>
      <c r="T172" s="38"/>
      <c r="U172" s="71"/>
      <c r="V172" s="71"/>
      <c r="W172" s="71"/>
      <c r="X172" s="567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ht="14" thickBot="1" x14ac:dyDescent="0.2">
      <c r="A173" s="692"/>
      <c r="B173" s="597"/>
      <c r="C173" s="113"/>
      <c r="D173" s="25"/>
      <c r="E173" s="84">
        <f>SUM(E170:E172)</f>
        <v>4453.0296412879179</v>
      </c>
      <c r="F173" s="84">
        <f>SUM(F170:F172)</f>
        <v>1357.2834346645573</v>
      </c>
      <c r="G173" s="113" t="s">
        <v>18</v>
      </c>
      <c r="H173" s="113"/>
      <c r="I173" s="113"/>
      <c r="J173" s="113"/>
      <c r="K173" s="113"/>
      <c r="L173" s="135"/>
      <c r="M173" s="84"/>
      <c r="N173" s="84"/>
      <c r="O173" s="38"/>
      <c r="P173" s="113"/>
      <c r="Q173" s="38"/>
      <c r="R173" s="38"/>
      <c r="S173" s="38"/>
      <c r="T173" s="38"/>
      <c r="U173" s="71"/>
      <c r="V173" s="71"/>
      <c r="W173" s="71"/>
      <c r="X173" s="567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ht="14" thickBot="1" x14ac:dyDescent="0.2">
      <c r="A174" s="647" t="s">
        <v>520</v>
      </c>
      <c r="B174" s="597"/>
      <c r="C174" s="38"/>
      <c r="D174" s="25"/>
      <c r="E174" s="84"/>
      <c r="F174" s="84"/>
      <c r="G174" s="38"/>
      <c r="H174" s="113"/>
      <c r="I174" s="113"/>
      <c r="J174" s="84"/>
      <c r="K174" s="84" t="s">
        <v>18</v>
      </c>
      <c r="L174" s="81"/>
      <c r="M174" s="84" t="s">
        <v>18</v>
      </c>
      <c r="N174" s="84" t="s">
        <v>18</v>
      </c>
      <c r="O174" s="38"/>
      <c r="P174" s="113"/>
      <c r="Q174" s="38"/>
      <c r="R174" s="38"/>
      <c r="S174" s="38"/>
      <c r="T174" s="38"/>
      <c r="U174" s="71"/>
      <c r="V174" s="71"/>
      <c r="W174" s="71"/>
      <c r="X174" s="567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x14ac:dyDescent="0.15">
      <c r="A175" s="692">
        <v>1</v>
      </c>
      <c r="B175" s="597">
        <v>15.83333</v>
      </c>
      <c r="C175" s="113">
        <f>+B175*B175</f>
        <v>250.69433888890001</v>
      </c>
      <c r="D175" s="25">
        <v>1</v>
      </c>
      <c r="E175" s="113">
        <f>+C175*3.14159*A175*D175</f>
        <v>787.57882810997933</v>
      </c>
      <c r="F175" s="113">
        <f>+E175*0.3048</f>
        <v>240.0540268079217</v>
      </c>
      <c r="G175" s="113">
        <v>2</v>
      </c>
      <c r="H175" s="113">
        <v>5.1666670000000003</v>
      </c>
      <c r="I175" s="113">
        <v>5.1666670000000003</v>
      </c>
      <c r="J175" s="113">
        <f>+G175*H175*I175</f>
        <v>53.388895777778004</v>
      </c>
      <c r="K175" s="113">
        <f>+J175*0.3048</f>
        <v>16.272935433066735</v>
      </c>
      <c r="L175" s="81">
        <v>0.25</v>
      </c>
      <c r="M175" s="113">
        <f>+G175*H175*I175*L175</f>
        <v>13.347223944444501</v>
      </c>
      <c r="N175" s="113">
        <f>+M175*0.3048</f>
        <v>4.0682338582666837</v>
      </c>
      <c r="O175" s="38"/>
      <c r="P175" s="113"/>
      <c r="Q175" s="38"/>
      <c r="R175" s="38"/>
      <c r="S175" s="38"/>
      <c r="T175" s="38"/>
      <c r="U175" s="71"/>
      <c r="V175" s="71"/>
      <c r="W175" s="71"/>
      <c r="X175" s="567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x14ac:dyDescent="0.15">
      <c r="A176" s="692">
        <v>2</v>
      </c>
      <c r="B176" s="597">
        <v>26</v>
      </c>
      <c r="C176" s="113">
        <f>+B176*B176</f>
        <v>676</v>
      </c>
      <c r="D176" s="299">
        <v>1</v>
      </c>
      <c r="E176" s="113">
        <f>+C176*3.14159*A176*D176</f>
        <v>4247.4296800000002</v>
      </c>
      <c r="F176" s="113">
        <f>+E176*0.3048</f>
        <v>1294.616566464</v>
      </c>
      <c r="G176" s="38">
        <v>1</v>
      </c>
      <c r="H176" s="113">
        <v>5.1666670000000003</v>
      </c>
      <c r="I176" s="113">
        <v>5.1666670000000003</v>
      </c>
      <c r="J176" s="113">
        <f>+G176*H176*I176</f>
        <v>26.694447888889002</v>
      </c>
      <c r="K176" s="113">
        <f>+J176*0.3048</f>
        <v>8.1364677165333674</v>
      </c>
      <c r="L176" s="81">
        <v>0.3</v>
      </c>
      <c r="M176" s="113">
        <f>+G176*H176*I176*L176</f>
        <v>8.0083343666667002</v>
      </c>
      <c r="N176" s="113">
        <f>+M176*0.3048</f>
        <v>2.4409403149600104</v>
      </c>
      <c r="O176" s="38"/>
      <c r="P176" s="113"/>
      <c r="Q176" s="38"/>
      <c r="R176" s="38"/>
      <c r="S176" s="38"/>
      <c r="T176" s="38"/>
      <c r="U176" s="71"/>
      <c r="V176" s="71"/>
      <c r="W176" s="71"/>
      <c r="X176" s="567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x14ac:dyDescent="0.15">
      <c r="A177" s="692">
        <v>1</v>
      </c>
      <c r="B177" s="597">
        <v>16</v>
      </c>
      <c r="C177" s="113">
        <f>+B177*B177</f>
        <v>256</v>
      </c>
      <c r="D177" s="25">
        <v>1</v>
      </c>
      <c r="E177" s="113">
        <f>+C177*3.14159*A177*D177</f>
        <v>804.24703999999997</v>
      </c>
      <c r="F177" s="113">
        <f>+E177*0.3048</f>
        <v>245.13449779199999</v>
      </c>
      <c r="G177" s="38">
        <v>1</v>
      </c>
      <c r="H177" s="113">
        <v>5.1666670000000003</v>
      </c>
      <c r="I177" s="113">
        <v>5.1666670000000003</v>
      </c>
      <c r="J177" s="113">
        <f>+G177*H177*I177</f>
        <v>26.694447888889002</v>
      </c>
      <c r="K177" s="113">
        <f>+J177*0.3048</f>
        <v>8.1364677165333674</v>
      </c>
      <c r="L177" s="81">
        <v>0.92</v>
      </c>
      <c r="M177" s="113">
        <f>+G177*H177*I177*L177</f>
        <v>24.558892057777882</v>
      </c>
      <c r="N177" s="113">
        <f>+M177*0.3048</f>
        <v>7.4855502992106988</v>
      </c>
      <c r="O177" s="38"/>
      <c r="P177" s="113"/>
      <c r="Q177" s="38"/>
      <c r="R177" s="38"/>
      <c r="S177" s="38"/>
      <c r="T177" s="38"/>
      <c r="U177" s="71"/>
      <c r="V177" s="71"/>
      <c r="W177" s="71"/>
      <c r="X177" s="567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ht="14" thickBot="1" x14ac:dyDescent="0.2">
      <c r="A178" s="661" t="s">
        <v>18</v>
      </c>
      <c r="B178" s="597" t="s">
        <v>18</v>
      </c>
      <c r="C178" s="113" t="s">
        <v>18</v>
      </c>
      <c r="D178" s="25"/>
      <c r="E178" s="84">
        <f>SUM(E175:E177)</f>
        <v>5839.2555481099798</v>
      </c>
      <c r="F178" s="84">
        <f>SUM(F175:F177)</f>
        <v>1779.8050910639217</v>
      </c>
      <c r="G178" s="38"/>
      <c r="H178" s="113"/>
      <c r="I178" s="113"/>
      <c r="J178" s="84" t="s">
        <v>18</v>
      </c>
      <c r="K178" s="84" t="s">
        <v>18</v>
      </c>
      <c r="L178" s="135" t="s">
        <v>18</v>
      </c>
      <c r="M178" s="84">
        <f>SUM(M175:M177)</f>
        <v>45.914450368889085</v>
      </c>
      <c r="N178" s="84">
        <f>SUM(N175:N177)</f>
        <v>13.994724472437394</v>
      </c>
      <c r="O178" s="38"/>
      <c r="P178" s="113"/>
      <c r="Q178" s="38"/>
      <c r="R178" s="38"/>
      <c r="S178" s="38"/>
      <c r="T178" s="38"/>
      <c r="U178" s="71"/>
      <c r="V178" s="71"/>
      <c r="W178" s="71"/>
      <c r="X178" s="567" t="s">
        <v>18</v>
      </c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ht="14" thickBot="1" x14ac:dyDescent="0.2">
      <c r="A179" s="647" t="s">
        <v>522</v>
      </c>
      <c r="B179" s="597"/>
      <c r="C179" s="113"/>
      <c r="D179" s="25"/>
      <c r="E179" s="84"/>
      <c r="F179" s="84"/>
      <c r="G179" s="38"/>
      <c r="H179" s="113"/>
      <c r="I179" s="113"/>
      <c r="J179" s="84"/>
      <c r="K179" s="84"/>
      <c r="L179" s="135"/>
      <c r="M179" s="84"/>
      <c r="N179" s="84"/>
      <c r="O179" s="38"/>
      <c r="P179" s="113"/>
      <c r="Q179" s="38"/>
      <c r="R179" s="38"/>
      <c r="S179" s="38"/>
      <c r="T179" s="38"/>
      <c r="U179" s="71"/>
      <c r="V179" s="71"/>
      <c r="W179" s="71"/>
      <c r="X179" s="567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x14ac:dyDescent="0.15">
      <c r="A180" s="692">
        <v>1</v>
      </c>
      <c r="B180" s="597">
        <v>19.833333</v>
      </c>
      <c r="C180" s="113">
        <f>+B180*B180</f>
        <v>393.36109788888899</v>
      </c>
      <c r="D180" s="25">
        <v>1</v>
      </c>
      <c r="E180" s="113">
        <f>+C180*3.14159*A180*D180</f>
        <v>1235.7792915167547</v>
      </c>
      <c r="F180" s="113">
        <f>+E180*0.3048</f>
        <v>376.66552805430683</v>
      </c>
      <c r="G180" s="38">
        <v>1</v>
      </c>
      <c r="H180" s="113">
        <v>6</v>
      </c>
      <c r="I180" s="113">
        <v>6</v>
      </c>
      <c r="J180" s="113">
        <f>+G180*H180*I180</f>
        <v>36</v>
      </c>
      <c r="K180" s="113">
        <f>+J180*0.3048</f>
        <v>10.972800000000001</v>
      </c>
      <c r="L180" s="135">
        <v>0.92</v>
      </c>
      <c r="M180" s="113">
        <f>+G180*H180*I180*L180</f>
        <v>33.120000000000005</v>
      </c>
      <c r="N180" s="113">
        <f>+M180*0.3048</f>
        <v>10.094976000000003</v>
      </c>
      <c r="O180" s="38">
        <v>1</v>
      </c>
      <c r="P180" s="113">
        <v>15.916667</v>
      </c>
      <c r="Q180" s="299">
        <v>11.75</v>
      </c>
      <c r="R180" s="299">
        <v>0.85</v>
      </c>
      <c r="S180" s="113">
        <f>+O180*P180*Q180*R180</f>
        <v>158.96771166249999</v>
      </c>
      <c r="T180" s="113">
        <f>+S180*0.3048</f>
        <v>48.453358514729999</v>
      </c>
      <c r="U180" s="113">
        <v>16.83333</v>
      </c>
      <c r="V180" s="467">
        <f>+U180*0.3048</f>
        <v>5.1307989840000001</v>
      </c>
      <c r="W180" s="71"/>
      <c r="X180" s="567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x14ac:dyDescent="0.15">
      <c r="A181" s="692">
        <v>1</v>
      </c>
      <c r="B181" s="668">
        <v>27.166667</v>
      </c>
      <c r="C181" s="113">
        <f>+B181*B181</f>
        <v>738.02779588888905</v>
      </c>
      <c r="D181" s="25">
        <v>1</v>
      </c>
      <c r="E181" s="113">
        <f>+C181*3.14159*A181*D181</f>
        <v>2318.5807432865749</v>
      </c>
      <c r="F181" s="113">
        <f>+E181*0.3048</f>
        <v>706.70341055374809</v>
      </c>
      <c r="G181" s="38">
        <v>1</v>
      </c>
      <c r="H181" s="113">
        <v>6</v>
      </c>
      <c r="I181" s="113">
        <v>6</v>
      </c>
      <c r="J181" s="113">
        <f>+G181*H181*I181</f>
        <v>36</v>
      </c>
      <c r="K181" s="113">
        <f>+J181*0.3048</f>
        <v>10.972800000000001</v>
      </c>
      <c r="L181" s="135">
        <v>0.55000000000000004</v>
      </c>
      <c r="M181" s="113">
        <f>+G181*H181*I181*L181</f>
        <v>19.8</v>
      </c>
      <c r="N181" s="113">
        <f>+M181*0.3048</f>
        <v>6.0350400000000004</v>
      </c>
      <c r="O181" s="38">
        <v>1</v>
      </c>
      <c r="P181" s="113">
        <v>17.25</v>
      </c>
      <c r="Q181" s="299">
        <v>11.75</v>
      </c>
      <c r="R181" s="299">
        <v>0.92</v>
      </c>
      <c r="S181" s="113">
        <f>+O181*P181*Q181*R181</f>
        <v>186.4725</v>
      </c>
      <c r="T181" s="113">
        <f>+S181*0.3048</f>
        <v>56.836818000000001</v>
      </c>
      <c r="U181" s="113">
        <v>42</v>
      </c>
      <c r="V181" s="467">
        <f>+U181*0.3048</f>
        <v>12.801600000000001</v>
      </c>
      <c r="W181" s="71"/>
      <c r="X181" s="567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x14ac:dyDescent="0.15">
      <c r="A182" s="692">
        <v>1</v>
      </c>
      <c r="B182" s="597">
        <v>27.083333</v>
      </c>
      <c r="C182" s="113">
        <f>+B182*B182</f>
        <v>733.50692638888893</v>
      </c>
      <c r="D182" s="25">
        <v>1</v>
      </c>
      <c r="E182" s="113">
        <f>+C182*3.14159*A182*D182</f>
        <v>2304.3780248740695</v>
      </c>
      <c r="F182" s="113">
        <f>+E182*0.3048</f>
        <v>702.37442198161648</v>
      </c>
      <c r="G182" s="38"/>
      <c r="H182" s="113"/>
      <c r="I182" s="113"/>
      <c r="J182" s="84"/>
      <c r="K182" s="84"/>
      <c r="L182" s="135"/>
      <c r="M182" s="84">
        <f>SUM(M180:M181)</f>
        <v>52.92</v>
      </c>
      <c r="N182" s="84">
        <f>SUM(N180:N181)</f>
        <v>16.130016000000005</v>
      </c>
      <c r="O182" s="38"/>
      <c r="P182" s="113"/>
      <c r="Q182" s="38"/>
      <c r="R182" s="38"/>
      <c r="S182" s="84">
        <f>SUM(S180:S181)</f>
        <v>345.44021166250002</v>
      </c>
      <c r="T182" s="84">
        <f>SUM(T180:T181)</f>
        <v>105.29017651473001</v>
      </c>
      <c r="U182" s="84">
        <f>SUM(U180:U181)</f>
        <v>58.833330000000004</v>
      </c>
      <c r="V182" s="84">
        <f>SUM(V180:V181)</f>
        <v>17.932398984000002</v>
      </c>
      <c r="W182" s="71"/>
      <c r="X182" s="567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ht="14" thickBot="1" x14ac:dyDescent="0.2">
      <c r="A183" s="661"/>
      <c r="B183" s="597" t="s">
        <v>18</v>
      </c>
      <c r="C183" s="113"/>
      <c r="D183" s="25"/>
      <c r="E183" s="84">
        <f>SUM(E180:E182)</f>
        <v>5858.7380596773992</v>
      </c>
      <c r="F183" s="84">
        <f>SUM(F180:F182)</f>
        <v>1785.7433605896715</v>
      </c>
      <c r="G183" s="38"/>
      <c r="H183" s="113"/>
      <c r="I183" s="113"/>
      <c r="J183" s="84"/>
      <c r="K183" s="84"/>
      <c r="L183" s="135"/>
      <c r="M183" s="84"/>
      <c r="N183" s="84"/>
      <c r="O183" s="38"/>
      <c r="P183" s="113" t="s">
        <v>18</v>
      </c>
      <c r="Q183" s="38"/>
      <c r="R183" s="38"/>
      <c r="S183" s="38"/>
      <c r="T183" s="38"/>
      <c r="U183" s="71"/>
      <c r="V183" s="71"/>
      <c r="W183" s="71"/>
      <c r="X183" s="567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ht="14" thickBot="1" x14ac:dyDescent="0.2">
      <c r="A184" s="647" t="s">
        <v>524</v>
      </c>
      <c r="B184" s="597"/>
      <c r="C184" s="113" t="s">
        <v>18</v>
      </c>
      <c r="D184" s="25" t="s">
        <v>18</v>
      </c>
      <c r="E184" s="84"/>
      <c r="F184" s="84"/>
      <c r="G184" s="38"/>
      <c r="H184" s="113"/>
      <c r="I184" s="113"/>
      <c r="J184" s="84"/>
      <c r="K184" s="84"/>
      <c r="L184" s="135"/>
      <c r="M184" s="84" t="s">
        <v>18</v>
      </c>
      <c r="N184" s="84"/>
      <c r="O184" s="38"/>
      <c r="P184" s="113" t="s">
        <v>18</v>
      </c>
      <c r="Q184" s="38"/>
      <c r="R184" s="38"/>
      <c r="S184" s="38"/>
      <c r="T184" s="38"/>
      <c r="U184" s="71"/>
      <c r="V184" s="71"/>
      <c r="W184" s="71"/>
      <c r="X184" s="567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x14ac:dyDescent="0.15">
      <c r="A185" s="692">
        <v>3</v>
      </c>
      <c r="B185" s="597">
        <v>15.66667</v>
      </c>
      <c r="C185" s="113">
        <f>+B185*B185</f>
        <v>245.44454888889999</v>
      </c>
      <c r="D185" s="25">
        <v>1</v>
      </c>
      <c r="E185" s="113">
        <f>+C185*3.14159*A185*D185</f>
        <v>2313.2584210316377</v>
      </c>
      <c r="F185" s="113">
        <f>+E185*0.3048</f>
        <v>705.08116673044321</v>
      </c>
      <c r="G185" s="38">
        <v>1</v>
      </c>
      <c r="H185" s="113">
        <v>6.25</v>
      </c>
      <c r="I185" s="113">
        <v>6.25</v>
      </c>
      <c r="J185" s="113">
        <f t="shared" ref="J185:J191" si="32">+G185*H185*I185</f>
        <v>39.0625</v>
      </c>
      <c r="K185" s="113">
        <f t="shared" ref="K185:K191" si="33">+J185*0.3048</f>
        <v>11.90625</v>
      </c>
      <c r="L185" s="135">
        <v>0.95</v>
      </c>
      <c r="M185" s="113">
        <f t="shared" ref="M185:M191" si="34">+G185*H185*I185*L185</f>
        <v>37.109375</v>
      </c>
      <c r="N185" s="113">
        <f t="shared" ref="N185:N191" si="35">+M185*0.3048</f>
        <v>11.310937500000001</v>
      </c>
      <c r="O185" s="38">
        <v>1</v>
      </c>
      <c r="P185" s="113">
        <v>12.083333</v>
      </c>
      <c r="Q185" s="299">
        <v>7.0833329999999997</v>
      </c>
      <c r="R185" s="299">
        <v>0.94</v>
      </c>
      <c r="S185" s="113">
        <f>+O185*P185*Q185*R185</f>
        <v>80.454855105555652</v>
      </c>
      <c r="T185" s="113">
        <f>+S185*0.3048</f>
        <v>24.522639836173365</v>
      </c>
      <c r="U185" s="113">
        <v>71</v>
      </c>
      <c r="V185" s="467">
        <f>+U185*0.3048</f>
        <v>21.640800000000002</v>
      </c>
      <c r="W185" s="71"/>
      <c r="X185" s="567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x14ac:dyDescent="0.15">
      <c r="A186" s="692">
        <v>1</v>
      </c>
      <c r="B186" s="597">
        <v>14</v>
      </c>
      <c r="C186" s="113">
        <f t="shared" ref="C186:C193" si="36">+B186*B186</f>
        <v>196</v>
      </c>
      <c r="D186" s="25">
        <v>1</v>
      </c>
      <c r="E186" s="113">
        <f>+C186*3.14159*A186*D186</f>
        <v>615.75163999999995</v>
      </c>
      <c r="F186" s="113">
        <f>+E186*0.3048</f>
        <v>187.681099872</v>
      </c>
      <c r="G186" s="38">
        <v>1</v>
      </c>
      <c r="H186" s="113">
        <v>6.4166667000000004</v>
      </c>
      <c r="I186" s="113">
        <v>6.25</v>
      </c>
      <c r="J186" s="113">
        <f t="shared" si="32"/>
        <v>40.104166875000004</v>
      </c>
      <c r="K186" s="113">
        <f t="shared" si="33"/>
        <v>12.223750063500002</v>
      </c>
      <c r="L186" s="135">
        <v>0.92</v>
      </c>
      <c r="M186" s="113">
        <f t="shared" si="34"/>
        <v>36.895833525000008</v>
      </c>
      <c r="N186" s="113">
        <f t="shared" si="35"/>
        <v>11.245850058420002</v>
      </c>
      <c r="O186" s="38">
        <v>1</v>
      </c>
      <c r="P186" s="113">
        <v>7.1666699999999999</v>
      </c>
      <c r="Q186" s="299">
        <v>4.3333000000000004</v>
      </c>
      <c r="R186" s="299">
        <v>0.95</v>
      </c>
      <c r="S186" s="113">
        <f>+O186*P186*Q186*R186</f>
        <v>29.50256455545</v>
      </c>
      <c r="T186" s="113">
        <f>+S186*0.3048</f>
        <v>8.9923816765011608</v>
      </c>
      <c r="U186" s="113">
        <v>238</v>
      </c>
      <c r="V186" s="467">
        <f>+U186*0.3048</f>
        <v>72.542400000000001</v>
      </c>
      <c r="W186" s="71"/>
      <c r="X186" s="567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x14ac:dyDescent="0.15">
      <c r="A187" s="692">
        <v>1</v>
      </c>
      <c r="B187" s="597">
        <v>17.5</v>
      </c>
      <c r="C187" s="113">
        <f t="shared" si="36"/>
        <v>306.25</v>
      </c>
      <c r="D187" s="25">
        <v>1</v>
      </c>
      <c r="E187" s="113">
        <f>+C187*3.14159*A187*D187</f>
        <v>962.11193749999995</v>
      </c>
      <c r="F187" s="113">
        <f>+E187*0.3048</f>
        <v>293.25171855000002</v>
      </c>
      <c r="G187" s="38">
        <v>1</v>
      </c>
      <c r="H187" s="113">
        <v>5.9166670000000003</v>
      </c>
      <c r="I187" s="113">
        <v>6.25</v>
      </c>
      <c r="J187" s="113">
        <f t="shared" si="32"/>
        <v>36.979168749999999</v>
      </c>
      <c r="K187" s="113">
        <f t="shared" si="33"/>
        <v>11.271250635000001</v>
      </c>
      <c r="L187" s="135">
        <v>0.92</v>
      </c>
      <c r="M187" s="113">
        <f t="shared" si="34"/>
        <v>34.020835249999998</v>
      </c>
      <c r="N187" s="113">
        <f t="shared" si="35"/>
        <v>10.369550584200001</v>
      </c>
      <c r="O187" s="38">
        <v>1</v>
      </c>
      <c r="P187" s="113">
        <v>13.25</v>
      </c>
      <c r="Q187" s="299">
        <v>37.333329999999997</v>
      </c>
      <c r="R187" s="299">
        <v>0.92</v>
      </c>
      <c r="S187" s="113">
        <f>+O187*P187*Q187*R187</f>
        <v>455.09329270000001</v>
      </c>
      <c r="T187" s="113">
        <f>+S187*0.3048</f>
        <v>138.71243561496001</v>
      </c>
      <c r="U187" s="113">
        <v>11.16667</v>
      </c>
      <c r="V187" s="467">
        <f>+U187*0.3048</f>
        <v>3.4036010160000001</v>
      </c>
      <c r="W187" s="71"/>
      <c r="X187" s="567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x14ac:dyDescent="0.15">
      <c r="A188" s="692">
        <v>1</v>
      </c>
      <c r="B188" s="597">
        <v>25</v>
      </c>
      <c r="C188" s="113">
        <f t="shared" si="36"/>
        <v>625</v>
      </c>
      <c r="D188" s="25">
        <v>1</v>
      </c>
      <c r="E188" s="113">
        <f t="shared" ref="E188:E193" si="37">+C188*3.14159*A188*D188</f>
        <v>1963.4937499999999</v>
      </c>
      <c r="F188" s="113">
        <f t="shared" ref="F188:F193" si="38">+E188*0.3048</f>
        <v>598.47289499999999</v>
      </c>
      <c r="G188" s="38">
        <v>1</v>
      </c>
      <c r="H188" s="299">
        <v>6.3333000000000004</v>
      </c>
      <c r="I188" s="299">
        <v>6.1666670000000003</v>
      </c>
      <c r="J188" s="113">
        <f t="shared" si="32"/>
        <v>39.055352111100007</v>
      </c>
      <c r="K188" s="113">
        <f t="shared" si="33"/>
        <v>11.904071323463283</v>
      </c>
      <c r="L188" s="811">
        <v>0.9</v>
      </c>
      <c r="M188" s="113">
        <f t="shared" si="34"/>
        <v>35.149816899990007</v>
      </c>
      <c r="N188" s="113">
        <f t="shared" si="35"/>
        <v>10.713664191116955</v>
      </c>
      <c r="O188" s="38"/>
      <c r="P188" s="113"/>
      <c r="Q188" s="38"/>
      <c r="R188" s="38"/>
      <c r="S188" s="84">
        <f>SUM(S185:S187)</f>
        <v>565.05071236100571</v>
      </c>
      <c r="T188" s="84">
        <f>SUM(T185:T187)</f>
        <v>172.22745712763452</v>
      </c>
      <c r="U188" s="113">
        <v>29.583333</v>
      </c>
      <c r="V188" s="467">
        <f>+U188*0.3048</f>
        <v>9.0169998983999999</v>
      </c>
      <c r="W188" s="71"/>
      <c r="X188" s="567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x14ac:dyDescent="0.15">
      <c r="A189" s="692">
        <v>1</v>
      </c>
      <c r="B189" s="597">
        <v>22</v>
      </c>
      <c r="C189" s="113">
        <f t="shared" si="36"/>
        <v>484</v>
      </c>
      <c r="D189" s="25">
        <v>1</v>
      </c>
      <c r="E189" s="113">
        <f t="shared" si="37"/>
        <v>1520.5295599999999</v>
      </c>
      <c r="F189" s="113">
        <f t="shared" si="38"/>
        <v>463.45740988800003</v>
      </c>
      <c r="G189" s="38">
        <v>1</v>
      </c>
      <c r="H189" s="299">
        <v>6.0833329999999997</v>
      </c>
      <c r="I189" s="299">
        <v>6.1666670000000003</v>
      </c>
      <c r="J189" s="113">
        <f t="shared" si="32"/>
        <v>37.513888861110999</v>
      </c>
      <c r="K189" s="113">
        <f t="shared" si="33"/>
        <v>11.434233324866634</v>
      </c>
      <c r="L189" s="811">
        <v>0.9</v>
      </c>
      <c r="M189" s="113">
        <f t="shared" si="34"/>
        <v>33.762499974999898</v>
      </c>
      <c r="N189" s="113">
        <f t="shared" si="35"/>
        <v>10.29080999237997</v>
      </c>
      <c r="O189" s="38"/>
      <c r="P189" s="113"/>
      <c r="Q189" s="38"/>
      <c r="R189" s="38"/>
      <c r="S189" s="38"/>
      <c r="T189" s="38"/>
      <c r="U189" s="113">
        <v>63</v>
      </c>
      <c r="V189" s="467">
        <f>+U189*0.3048</f>
        <v>19.202400000000001</v>
      </c>
      <c r="W189" s="71"/>
      <c r="X189" s="567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x14ac:dyDescent="0.15">
      <c r="A190" s="692">
        <v>1</v>
      </c>
      <c r="B190" s="597">
        <v>19.083333</v>
      </c>
      <c r="C190" s="113">
        <f t="shared" si="36"/>
        <v>364.17359838888899</v>
      </c>
      <c r="D190" s="25">
        <v>1</v>
      </c>
      <c r="E190" s="113">
        <f t="shared" si="37"/>
        <v>1144.0841349625498</v>
      </c>
      <c r="F190" s="113">
        <f t="shared" si="38"/>
        <v>348.71684433658521</v>
      </c>
      <c r="G190" s="38">
        <v>1</v>
      </c>
      <c r="H190" s="113">
        <v>6.25</v>
      </c>
      <c r="I190" s="299">
        <v>6.1666699999999999</v>
      </c>
      <c r="J190" s="113">
        <f t="shared" si="32"/>
        <v>38.541687500000002</v>
      </c>
      <c r="K190" s="113">
        <f t="shared" si="33"/>
        <v>11.747506350000002</v>
      </c>
      <c r="L190" s="811">
        <v>0.9</v>
      </c>
      <c r="M190" s="113">
        <f t="shared" si="34"/>
        <v>34.687518750000002</v>
      </c>
      <c r="N190" s="113">
        <f t="shared" si="35"/>
        <v>10.572755715000001</v>
      </c>
      <c r="O190" s="38"/>
      <c r="P190" s="113"/>
      <c r="Q190" s="38"/>
      <c r="R190" s="38"/>
      <c r="S190" s="38"/>
      <c r="T190" s="38"/>
      <c r="U190" s="84">
        <f>SUM(U185:U189)</f>
        <v>412.75000299999999</v>
      </c>
      <c r="V190" s="84">
        <f>SUM(V185:V189)</f>
        <v>125.80620091439999</v>
      </c>
      <c r="W190" s="71"/>
      <c r="X190" s="567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x14ac:dyDescent="0.15">
      <c r="A191" s="692">
        <v>1</v>
      </c>
      <c r="B191" s="597">
        <v>27</v>
      </c>
      <c r="C191" s="113">
        <f t="shared" si="36"/>
        <v>729</v>
      </c>
      <c r="D191" s="25">
        <v>1</v>
      </c>
      <c r="E191" s="113">
        <f t="shared" si="37"/>
        <v>2290.21911</v>
      </c>
      <c r="F191" s="113">
        <f t="shared" si="38"/>
        <v>698.05878472800009</v>
      </c>
      <c r="G191" s="38">
        <v>1</v>
      </c>
      <c r="H191" s="299">
        <v>6.0833329999999997</v>
      </c>
      <c r="I191" s="299">
        <v>6.25</v>
      </c>
      <c r="J191" s="113">
        <f t="shared" si="32"/>
        <v>38.020831250000001</v>
      </c>
      <c r="K191" s="113">
        <f t="shared" si="33"/>
        <v>11.588749365</v>
      </c>
      <c r="L191" s="811">
        <v>0.85</v>
      </c>
      <c r="M191" s="113">
        <f t="shared" si="34"/>
        <v>32.3177065625</v>
      </c>
      <c r="N191" s="113">
        <f t="shared" si="35"/>
        <v>9.8504369602500006</v>
      </c>
      <c r="O191" s="38"/>
      <c r="P191" s="113"/>
      <c r="Q191" s="38"/>
      <c r="R191" s="113" t="s">
        <v>18</v>
      </c>
      <c r="S191" s="113" t="s">
        <v>18</v>
      </c>
      <c r="T191" s="38"/>
      <c r="U191" s="71" t="s">
        <v>18</v>
      </c>
      <c r="V191" s="71"/>
      <c r="W191" s="71"/>
      <c r="X191" s="567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x14ac:dyDescent="0.15">
      <c r="A192" s="692">
        <v>1</v>
      </c>
      <c r="B192" s="597">
        <v>20</v>
      </c>
      <c r="C192" s="113">
        <f t="shared" si="36"/>
        <v>400</v>
      </c>
      <c r="D192" s="25">
        <v>1</v>
      </c>
      <c r="E192" s="113">
        <f t="shared" si="37"/>
        <v>1256.636</v>
      </c>
      <c r="F192" s="113">
        <f t="shared" si="38"/>
        <v>383.0226528</v>
      </c>
      <c r="G192" s="38"/>
      <c r="H192" s="113" t="s">
        <v>18</v>
      </c>
      <c r="I192" s="113"/>
      <c r="J192" s="84"/>
      <c r="K192" s="84"/>
      <c r="L192" s="135"/>
      <c r="M192" s="84">
        <f>SUM(M185:M191)</f>
        <v>243.94358596248995</v>
      </c>
      <c r="N192" s="84">
        <f>SUM(N185:N191)</f>
        <v>74.354005001366943</v>
      </c>
      <c r="O192" s="38"/>
      <c r="P192" s="113" t="s">
        <v>18</v>
      </c>
      <c r="Q192" s="38"/>
      <c r="R192" s="38"/>
      <c r="S192" s="38"/>
      <c r="T192" s="113" t="s">
        <v>18</v>
      </c>
      <c r="U192" s="71"/>
      <c r="V192" s="71" t="s">
        <v>18</v>
      </c>
      <c r="W192" s="71"/>
      <c r="X192" s="567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x14ac:dyDescent="0.15">
      <c r="A193" s="692">
        <v>1</v>
      </c>
      <c r="B193" s="597">
        <v>8.5</v>
      </c>
      <c r="C193" s="113">
        <f t="shared" si="36"/>
        <v>72.25</v>
      </c>
      <c r="D193" s="25">
        <v>1</v>
      </c>
      <c r="E193" s="113">
        <f t="shared" si="37"/>
        <v>226.97987749999999</v>
      </c>
      <c r="F193" s="113">
        <f t="shared" si="38"/>
        <v>69.183466662000001</v>
      </c>
      <c r="G193" s="38"/>
      <c r="H193" s="113"/>
      <c r="I193" s="113"/>
      <c r="J193" s="84"/>
      <c r="K193" s="84"/>
      <c r="L193" s="135"/>
      <c r="M193" s="38"/>
      <c r="N193" s="38"/>
      <c r="O193" s="38"/>
      <c r="P193" s="113"/>
      <c r="Q193" s="38"/>
      <c r="R193" s="38"/>
      <c r="S193" s="38"/>
      <c r="T193" s="113" t="s">
        <v>18</v>
      </c>
      <c r="U193" s="71"/>
      <c r="V193" s="71"/>
      <c r="W193" s="71"/>
      <c r="X193" s="567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ht="14" thickBot="1" x14ac:dyDescent="0.2">
      <c r="A194" s="661"/>
      <c r="B194" s="597"/>
      <c r="C194" s="113"/>
      <c r="D194" s="25"/>
      <c r="E194" s="84">
        <f>SUM(E185:E193)</f>
        <v>12293.064430994187</v>
      </c>
      <c r="F194" s="84">
        <f>SUM(F185:F193)</f>
        <v>3746.9260385670286</v>
      </c>
      <c r="G194" s="38"/>
      <c r="H194" s="113" t="s">
        <v>18</v>
      </c>
      <c r="I194" s="113"/>
      <c r="J194" s="84" t="s">
        <v>18</v>
      </c>
      <c r="K194" s="84" t="s">
        <v>18</v>
      </c>
      <c r="L194" s="135"/>
      <c r="M194" s="84"/>
      <c r="N194" s="84"/>
      <c r="O194" s="38"/>
      <c r="P194" s="113"/>
      <c r="Q194" s="38"/>
      <c r="R194" s="113" t="s">
        <v>18</v>
      </c>
      <c r="S194" s="38"/>
      <c r="T194" s="38"/>
      <c r="U194" s="71"/>
      <c r="V194" s="71" t="s">
        <v>18</v>
      </c>
      <c r="W194" s="71"/>
      <c r="X194" s="567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ht="14" thickBot="1" x14ac:dyDescent="0.2">
      <c r="A195" s="647" t="s">
        <v>526</v>
      </c>
      <c r="B195" s="597"/>
      <c r="C195" s="113"/>
      <c r="D195" s="25"/>
      <c r="E195" s="84"/>
      <c r="F195" s="84"/>
      <c r="G195" s="38"/>
      <c r="H195" s="113"/>
      <c r="I195" s="113"/>
      <c r="J195" s="84"/>
      <c r="K195" s="84"/>
      <c r="L195" s="135" t="s">
        <v>18</v>
      </c>
      <c r="M195" s="84"/>
      <c r="N195" s="84" t="s">
        <v>18</v>
      </c>
      <c r="O195" s="38"/>
      <c r="P195" s="113"/>
      <c r="Q195" s="38"/>
      <c r="R195" s="38"/>
      <c r="S195" s="38"/>
      <c r="T195" s="38"/>
      <c r="U195" s="71"/>
      <c r="V195" s="71"/>
      <c r="W195" s="71"/>
      <c r="X195" s="567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x14ac:dyDescent="0.15">
      <c r="A196" s="692">
        <v>1</v>
      </c>
      <c r="B196" s="597">
        <v>9.4166670000000003</v>
      </c>
      <c r="C196" s="113">
        <f>+B196*B196</f>
        <v>88.673617388888999</v>
      </c>
      <c r="D196" s="25">
        <v>1</v>
      </c>
      <c r="E196" s="113">
        <f>+C196*3.14159*A196*D196</f>
        <v>278.5761496527598</v>
      </c>
      <c r="F196" s="113">
        <f>+E196*0.3048</f>
        <v>84.910010414161192</v>
      </c>
      <c r="G196" s="38">
        <v>1</v>
      </c>
      <c r="H196" s="113">
        <v>4.1666699999999999</v>
      </c>
      <c r="I196" s="113">
        <v>4.25</v>
      </c>
      <c r="J196" s="113">
        <f>+G196*H196*I196</f>
        <v>17.708347499999999</v>
      </c>
      <c r="K196" s="113">
        <f>+J196*0.3048</f>
        <v>5.3975043180000002</v>
      </c>
      <c r="L196" s="135">
        <v>1</v>
      </c>
      <c r="M196" s="113">
        <f>+G196*H196*I196*L196</f>
        <v>17.708347499999999</v>
      </c>
      <c r="N196" s="113">
        <f>+M196*0.3048</f>
        <v>5.3975043180000002</v>
      </c>
      <c r="O196" s="113">
        <v>1</v>
      </c>
      <c r="P196" s="113">
        <v>9.3332999999999995</v>
      </c>
      <c r="Q196" s="299">
        <v>10.083333</v>
      </c>
      <c r="R196" s="299">
        <v>1</v>
      </c>
      <c r="S196" s="113">
        <f>+O196*P196*Q196*R196</f>
        <v>94.11077188889999</v>
      </c>
      <c r="T196" s="113">
        <f>+S196*0.3048</f>
        <v>28.68496327173672</v>
      </c>
      <c r="U196" s="71"/>
      <c r="V196" s="71"/>
      <c r="W196" s="71"/>
      <c r="X196" s="567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x14ac:dyDescent="0.15">
      <c r="A197" s="692">
        <v>1</v>
      </c>
      <c r="B197" s="597">
        <v>6.5</v>
      </c>
      <c r="C197" s="113">
        <f>+B197*B197</f>
        <v>42.25</v>
      </c>
      <c r="D197" s="25">
        <v>1</v>
      </c>
      <c r="E197" s="113">
        <f>+C197*3.14159*A197*D197</f>
        <v>132.73217750000001</v>
      </c>
      <c r="F197" s="113">
        <f>+E197*0.3048</f>
        <v>40.456767702</v>
      </c>
      <c r="G197" s="113" t="s">
        <v>18</v>
      </c>
      <c r="H197" s="113" t="s">
        <v>18</v>
      </c>
      <c r="I197" s="113" t="s">
        <v>18</v>
      </c>
      <c r="J197" s="113" t="s">
        <v>18</v>
      </c>
      <c r="K197" s="113" t="s">
        <v>18</v>
      </c>
      <c r="L197" s="135" t="s">
        <v>18</v>
      </c>
      <c r="M197" s="84">
        <f>SUM(M196:M196)</f>
        <v>17.708347499999999</v>
      </c>
      <c r="N197" s="84">
        <f>SUM(N196:N196)</f>
        <v>5.3975043180000002</v>
      </c>
      <c r="O197" s="38">
        <v>1</v>
      </c>
      <c r="P197" s="113">
        <v>19.083333</v>
      </c>
      <c r="Q197" s="38">
        <v>9.75</v>
      </c>
      <c r="R197" s="25">
        <v>0.8</v>
      </c>
      <c r="S197" s="113">
        <f>+O197*P197*Q197*R197</f>
        <v>148.84999740000001</v>
      </c>
      <c r="T197" s="113">
        <f>+S197*0.3048</f>
        <v>45.369479207520001</v>
      </c>
      <c r="U197" s="71" t="s">
        <v>18</v>
      </c>
      <c r="V197" s="71"/>
      <c r="W197" s="71"/>
      <c r="X197" s="567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x14ac:dyDescent="0.15">
      <c r="A198" s="692">
        <v>1</v>
      </c>
      <c r="B198" s="597">
        <v>33</v>
      </c>
      <c r="C198" s="113">
        <f>+B198*B198</f>
        <v>1089</v>
      </c>
      <c r="D198" s="25">
        <v>1</v>
      </c>
      <c r="E198" s="113">
        <f>+C198*3.14159*A198*D198</f>
        <v>3421.1915099999997</v>
      </c>
      <c r="F198" s="113">
        <f>+E198*0.3048</f>
        <v>1042.7791722479999</v>
      </c>
      <c r="G198" s="113" t="s">
        <v>18</v>
      </c>
      <c r="H198" s="113"/>
      <c r="I198" s="113" t="s">
        <v>18</v>
      </c>
      <c r="J198" s="84"/>
      <c r="K198" s="84"/>
      <c r="L198" s="135" t="s">
        <v>18</v>
      </c>
      <c r="M198" s="38"/>
      <c r="N198" s="38"/>
      <c r="O198" s="38"/>
      <c r="P198" s="113"/>
      <c r="Q198" s="38"/>
      <c r="R198" s="38"/>
      <c r="S198" s="84">
        <f>SUM(S196:S197)</f>
        <v>242.9607692889</v>
      </c>
      <c r="T198" s="84">
        <f>SUM(T196:T197)</f>
        <v>74.054442479256721</v>
      </c>
      <c r="U198" s="71"/>
      <c r="V198" s="71"/>
      <c r="W198" s="71"/>
      <c r="X198" s="567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ht="14" thickBot="1" x14ac:dyDescent="0.2">
      <c r="A199" s="661"/>
      <c r="B199" s="597"/>
      <c r="C199" s="113"/>
      <c r="D199" s="25"/>
      <c r="E199" s="84">
        <f>SUM(E196:E198)</f>
        <v>3832.4998371527595</v>
      </c>
      <c r="F199" s="84">
        <f>SUM(F196:F198)</f>
        <v>1168.1459503641611</v>
      </c>
      <c r="G199" s="113"/>
      <c r="H199" s="113" t="s">
        <v>18</v>
      </c>
      <c r="I199" s="113" t="s">
        <v>18</v>
      </c>
      <c r="J199" s="84"/>
      <c r="K199" s="84"/>
      <c r="L199" s="135"/>
      <c r="M199" s="84"/>
      <c r="N199" s="84"/>
      <c r="O199" s="38"/>
      <c r="P199" s="113"/>
      <c r="Q199" s="38"/>
      <c r="R199" s="38"/>
      <c r="S199" s="38"/>
      <c r="T199" s="38"/>
      <c r="U199" s="71"/>
      <c r="V199" s="71"/>
      <c r="W199" s="71"/>
      <c r="X199" s="567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ht="14" thickBot="1" x14ac:dyDescent="0.2">
      <c r="A200" s="647" t="s">
        <v>528</v>
      </c>
      <c r="B200" s="597"/>
      <c r="C200" s="113" t="s">
        <v>18</v>
      </c>
      <c r="D200" s="25"/>
      <c r="E200" s="84"/>
      <c r="F200" s="84"/>
      <c r="G200" s="113"/>
      <c r="H200" s="113"/>
      <c r="I200" s="113"/>
      <c r="J200" s="84"/>
      <c r="K200" s="84"/>
      <c r="L200" s="135" t="s">
        <v>18</v>
      </c>
      <c r="M200" s="84"/>
      <c r="N200" s="84"/>
      <c r="O200" s="38"/>
      <c r="P200" s="113"/>
      <c r="Q200" s="38"/>
      <c r="R200" s="38"/>
      <c r="S200" s="38"/>
      <c r="T200" s="38"/>
      <c r="U200" s="71"/>
      <c r="V200" s="71"/>
      <c r="W200" s="71"/>
      <c r="X200" s="567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x14ac:dyDescent="0.15">
      <c r="A201" s="692">
        <v>1</v>
      </c>
      <c r="B201" s="597">
        <v>8.25</v>
      </c>
      <c r="C201" s="113">
        <f t="shared" ref="C201:C207" si="39">+B201*B201</f>
        <v>68.0625</v>
      </c>
      <c r="D201" s="25">
        <v>1</v>
      </c>
      <c r="E201" s="113">
        <f t="shared" ref="E201:E207" si="40">+C201*3.14159*A201*D201</f>
        <v>213.82446937499998</v>
      </c>
      <c r="F201" s="113">
        <f t="shared" ref="F201:F207" si="41">+E201*0.3048</f>
        <v>65.173698265499993</v>
      </c>
      <c r="G201" s="113">
        <v>1</v>
      </c>
      <c r="H201" s="113">
        <v>6.3333000000000004</v>
      </c>
      <c r="I201" s="113">
        <v>8.1666670000000003</v>
      </c>
      <c r="J201" s="113">
        <f>+G201*H201*I201</f>
        <v>51.721952111100002</v>
      </c>
      <c r="K201" s="113">
        <f>+J201*0.3048</f>
        <v>15.764851003463281</v>
      </c>
      <c r="L201" s="135">
        <v>0.93</v>
      </c>
      <c r="M201" s="113">
        <f>+G201*H201*I201*L201</f>
        <v>48.101415463323008</v>
      </c>
      <c r="N201" s="113">
        <f>+M201*0.3048</f>
        <v>14.661311433220854</v>
      </c>
      <c r="O201" s="113">
        <v>1</v>
      </c>
      <c r="P201" s="113">
        <v>16.83333</v>
      </c>
      <c r="Q201" s="113">
        <v>8.8333300000000001</v>
      </c>
      <c r="R201" s="113">
        <v>0.96</v>
      </c>
      <c r="S201" s="113">
        <f>+O201*P201*Q201*R201</f>
        <v>142.74658453334402</v>
      </c>
      <c r="T201" s="113">
        <f>+S201*0.3048</f>
        <v>43.509158965763262</v>
      </c>
      <c r="U201" s="38">
        <v>47.666670000000003</v>
      </c>
      <c r="V201" s="113">
        <f>+U201*0.3048</f>
        <v>14.528801016000001</v>
      </c>
      <c r="W201" s="71"/>
      <c r="X201" s="567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x14ac:dyDescent="0.15">
      <c r="A202" s="692">
        <v>1</v>
      </c>
      <c r="B202" s="597">
        <v>3.5833330000000001</v>
      </c>
      <c r="C202" s="113">
        <f t="shared" si="39"/>
        <v>12.840275388889001</v>
      </c>
      <c r="D202" s="25">
        <v>1</v>
      </c>
      <c r="E202" s="113">
        <f t="shared" si="40"/>
        <v>40.338880758979798</v>
      </c>
      <c r="F202" s="113">
        <f t="shared" si="41"/>
        <v>12.295290855337043</v>
      </c>
      <c r="G202" s="113">
        <v>1</v>
      </c>
      <c r="H202" s="113">
        <v>6.4166670000000003</v>
      </c>
      <c r="I202" s="113">
        <v>8.0833329999999997</v>
      </c>
      <c r="J202" s="113">
        <f>+G202*H202*I202</f>
        <v>51.868056111111002</v>
      </c>
      <c r="K202" s="113">
        <f>+J202*0.3048</f>
        <v>15.809383502666634</v>
      </c>
      <c r="L202" s="135">
        <v>1</v>
      </c>
      <c r="M202" s="113">
        <f>+G202*H202*I202*L202</f>
        <v>51.868056111111002</v>
      </c>
      <c r="N202" s="113">
        <f>+M202*0.3048</f>
        <v>15.809383502666634</v>
      </c>
      <c r="O202" s="113">
        <v>1</v>
      </c>
      <c r="P202" s="113">
        <v>15.416667</v>
      </c>
      <c r="Q202" s="113">
        <v>9.25</v>
      </c>
      <c r="R202" s="113">
        <v>0.95</v>
      </c>
      <c r="S202" s="113">
        <f>+O202*P202*Q202*R202</f>
        <v>135.47396126250001</v>
      </c>
      <c r="T202" s="113">
        <f>+S202*0.3048</f>
        <v>41.292463392810006</v>
      </c>
      <c r="U202" s="84">
        <v>47.666670000000003</v>
      </c>
      <c r="V202" s="84">
        <f>+U202*0.3048</f>
        <v>14.528801016000001</v>
      </c>
      <c r="W202" s="71"/>
      <c r="X202" s="567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x14ac:dyDescent="0.15">
      <c r="A203" s="692">
        <v>1</v>
      </c>
      <c r="B203" s="597">
        <v>7</v>
      </c>
      <c r="C203" s="113">
        <f t="shared" si="39"/>
        <v>49</v>
      </c>
      <c r="D203" s="25">
        <v>1</v>
      </c>
      <c r="E203" s="113">
        <f t="shared" si="40"/>
        <v>153.93790999999999</v>
      </c>
      <c r="F203" s="113">
        <f t="shared" si="41"/>
        <v>46.920274968000001</v>
      </c>
      <c r="G203" s="113">
        <v>1</v>
      </c>
      <c r="H203" s="113">
        <v>6</v>
      </c>
      <c r="I203" s="113">
        <v>6</v>
      </c>
      <c r="J203" s="113">
        <f>+G203*H203*I203</f>
        <v>36</v>
      </c>
      <c r="K203" s="113">
        <f>+J203*0.3048</f>
        <v>10.972800000000001</v>
      </c>
      <c r="L203" s="135">
        <v>0.97</v>
      </c>
      <c r="M203" s="113">
        <f>+G203*H203*I203*L203</f>
        <v>34.92</v>
      </c>
      <c r="N203" s="113">
        <f>+M203*0.3048</f>
        <v>10.643616000000002</v>
      </c>
      <c r="O203" s="113">
        <v>1</v>
      </c>
      <c r="P203" s="113">
        <v>17.25</v>
      </c>
      <c r="Q203" s="113">
        <v>8.8333300000000001</v>
      </c>
      <c r="R203" s="113">
        <v>0.97</v>
      </c>
      <c r="S203" s="113">
        <f>+O203*P203*Q203*R203</f>
        <v>147.80369422499999</v>
      </c>
      <c r="T203" s="113">
        <f>+S203*0.3048</f>
        <v>45.050565999779998</v>
      </c>
      <c r="U203" s="71"/>
      <c r="V203" s="71"/>
      <c r="W203" s="71"/>
      <c r="X203" s="567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x14ac:dyDescent="0.15">
      <c r="A204" s="692">
        <v>1</v>
      </c>
      <c r="B204" s="597">
        <v>20</v>
      </c>
      <c r="C204" s="113">
        <f t="shared" si="39"/>
        <v>400</v>
      </c>
      <c r="D204" s="25">
        <v>1</v>
      </c>
      <c r="E204" s="113">
        <f t="shared" si="40"/>
        <v>1256.636</v>
      </c>
      <c r="F204" s="113">
        <f t="shared" si="41"/>
        <v>383.0226528</v>
      </c>
      <c r="G204" s="113">
        <v>1</v>
      </c>
      <c r="H204" s="299">
        <v>6</v>
      </c>
      <c r="I204" s="299">
        <v>6.4166670000000003</v>
      </c>
      <c r="J204" s="113">
        <f>+G204*H204*I204</f>
        <v>38.500002000000002</v>
      </c>
      <c r="K204" s="113">
        <f>+J204*0.3048</f>
        <v>11.734800609600001</v>
      </c>
      <c r="L204" s="811">
        <v>0.96</v>
      </c>
      <c r="M204" s="113">
        <f>+G204*H204*I204*L204</f>
        <v>36.960001920000003</v>
      </c>
      <c r="N204" s="113">
        <f>+M204*0.3048</f>
        <v>11.265408585216001</v>
      </c>
      <c r="O204" s="113">
        <v>1</v>
      </c>
      <c r="P204" s="299">
        <v>28.166667</v>
      </c>
      <c r="Q204" s="299">
        <v>8.8333329999999997</v>
      </c>
      <c r="R204" s="299">
        <v>0.92</v>
      </c>
      <c r="S204" s="113">
        <f>+O204*P204*Q204*R204</f>
        <v>228.90110518222212</v>
      </c>
      <c r="T204" s="113">
        <f>+S204*0.3048</f>
        <v>69.769056859541308</v>
      </c>
      <c r="U204" s="71"/>
      <c r="V204" s="71"/>
      <c r="W204" s="71"/>
      <c r="X204" s="567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x14ac:dyDescent="0.15">
      <c r="A205" s="692">
        <v>1</v>
      </c>
      <c r="B205" s="597">
        <v>4.8333300000000001</v>
      </c>
      <c r="C205" s="113">
        <f t="shared" si="39"/>
        <v>23.3610788889</v>
      </c>
      <c r="D205" s="25">
        <v>1</v>
      </c>
      <c r="E205" s="113">
        <f t="shared" si="40"/>
        <v>73.390931826579347</v>
      </c>
      <c r="F205" s="113">
        <f t="shared" si="41"/>
        <v>22.369556020741385</v>
      </c>
      <c r="G205" s="113">
        <v>1</v>
      </c>
      <c r="H205" s="299">
        <v>12.333299999999999</v>
      </c>
      <c r="I205" s="299">
        <v>4.9166667000000004</v>
      </c>
      <c r="J205" s="84">
        <f>+G205*H205*I205</f>
        <v>60.638725411110002</v>
      </c>
      <c r="K205" s="84">
        <f>+J205*0.3048</f>
        <v>18.48268350530633</v>
      </c>
      <c r="L205" s="811">
        <v>0.8</v>
      </c>
      <c r="M205" s="113">
        <f>+G205*H205*I205*L205</f>
        <v>48.510980328888003</v>
      </c>
      <c r="N205" s="113">
        <f>+M205*0.3048</f>
        <v>14.786146804245064</v>
      </c>
      <c r="O205" s="38"/>
      <c r="P205" s="113"/>
      <c r="Q205" s="38"/>
      <c r="R205" s="38"/>
      <c r="S205" s="84">
        <f>SUM(S201:S204)</f>
        <v>654.92534520306617</v>
      </c>
      <c r="T205" s="462">
        <f>SUM(T201:T204)</f>
        <v>199.62124521789457</v>
      </c>
      <c r="U205" s="71"/>
      <c r="V205" s="71"/>
      <c r="W205" s="71"/>
      <c r="X205" s="567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x14ac:dyDescent="0.15">
      <c r="A206" s="692">
        <v>1</v>
      </c>
      <c r="B206" s="597">
        <v>11.58333</v>
      </c>
      <c r="C206" s="113">
        <f t="shared" si="39"/>
        <v>134.17353388890001</v>
      </c>
      <c r="D206" s="25">
        <v>1</v>
      </c>
      <c r="E206" s="113">
        <f t="shared" si="40"/>
        <v>421.51823233002938</v>
      </c>
      <c r="F206" s="113">
        <f t="shared" si="41"/>
        <v>128.47875721419297</v>
      </c>
      <c r="G206" s="113"/>
      <c r="H206" s="113"/>
      <c r="I206" s="113"/>
      <c r="J206" s="84"/>
      <c r="K206" s="84"/>
      <c r="L206" s="135"/>
      <c r="M206" s="84">
        <f>SUM(M201:M205)</f>
        <v>220.36045382332202</v>
      </c>
      <c r="N206" s="84">
        <f>SUM(N201:N205)</f>
        <v>67.16586632534856</v>
      </c>
      <c r="O206" s="38"/>
      <c r="P206" s="113"/>
      <c r="Q206" s="38"/>
      <c r="R206" s="38"/>
      <c r="S206" s="38"/>
      <c r="T206" s="38"/>
      <c r="U206" s="71"/>
      <c r="V206" s="71"/>
      <c r="W206" s="71"/>
      <c r="X206" s="567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x14ac:dyDescent="0.15">
      <c r="A207" s="692">
        <v>1</v>
      </c>
      <c r="B207" s="597">
        <v>24.333300000000001</v>
      </c>
      <c r="C207" s="113">
        <f t="shared" si="39"/>
        <v>592.10948889000008</v>
      </c>
      <c r="D207" s="25">
        <v>1</v>
      </c>
      <c r="E207" s="113">
        <f t="shared" si="40"/>
        <v>1860.1652492019352</v>
      </c>
      <c r="F207" s="113">
        <f t="shared" si="41"/>
        <v>566.97836795674993</v>
      </c>
      <c r="G207" s="113"/>
      <c r="H207" s="113"/>
      <c r="I207" s="113"/>
      <c r="J207" s="84" t="s">
        <v>18</v>
      </c>
      <c r="K207" s="84"/>
      <c r="L207" s="135"/>
      <c r="M207" s="84"/>
      <c r="N207" s="84"/>
      <c r="O207" s="113" t="s">
        <v>18</v>
      </c>
      <c r="P207" s="113"/>
      <c r="Q207" s="38"/>
      <c r="R207" s="38"/>
      <c r="S207" s="113" t="s">
        <v>18</v>
      </c>
      <c r="T207" s="113" t="s">
        <v>18</v>
      </c>
      <c r="U207" s="71"/>
      <c r="V207" s="71"/>
      <c r="W207" s="71"/>
      <c r="X207" s="567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ht="14" thickBot="1" x14ac:dyDescent="0.2">
      <c r="A208" s="661"/>
      <c r="B208" s="597"/>
      <c r="C208" s="113"/>
      <c r="D208" s="25"/>
      <c r="E208" s="84">
        <f>SUM(E201:E207)</f>
        <v>4019.8116734925238</v>
      </c>
      <c r="F208" s="84">
        <f>SUM(F201:F207)</f>
        <v>1225.2385980805213</v>
      </c>
      <c r="G208" s="113"/>
      <c r="H208" s="113" t="s">
        <v>18</v>
      </c>
      <c r="I208" s="113" t="s">
        <v>18</v>
      </c>
      <c r="J208" s="84"/>
      <c r="K208" s="84"/>
      <c r="L208" s="113"/>
      <c r="M208" s="84" t="s">
        <v>18</v>
      </c>
      <c r="N208" s="84"/>
      <c r="O208" s="38"/>
      <c r="P208" s="113"/>
      <c r="Q208" s="38"/>
      <c r="R208" s="38"/>
      <c r="S208" s="38"/>
      <c r="T208" s="38"/>
      <c r="U208" s="71" t="s">
        <v>18</v>
      </c>
      <c r="V208" s="71" t="s">
        <v>18</v>
      </c>
      <c r="W208" s="71"/>
      <c r="X208" s="567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ht="14" thickBot="1" x14ac:dyDescent="0.2">
      <c r="A209" s="662" t="s">
        <v>320</v>
      </c>
      <c r="B209" s="663"/>
      <c r="C209" s="296"/>
      <c r="D209" s="664"/>
      <c r="E209" s="575">
        <f>+SUM(E142+E153+E161+E168+E173+E178+E183+E194+E199+E208)</f>
        <v>73839.731952399379</v>
      </c>
      <c r="F209" s="575">
        <f>+SUM(F142+F153+F161+F168+F173+F178+F183+F194+F199+F208)</f>
        <v>22506.350299091329</v>
      </c>
      <c r="G209" s="296"/>
      <c r="H209" s="296"/>
      <c r="I209" s="296"/>
      <c r="J209" s="65"/>
      <c r="K209" s="65"/>
      <c r="L209" s="296"/>
      <c r="M209" s="575">
        <f>+SUM(M136+M151+M160+M167+M172+M178+M182+M192+M197+M206)</f>
        <v>1645.0780445492296</v>
      </c>
      <c r="N209" s="575">
        <f>+SUM(N136+N151+N160+N167+N172+N178+N182+N192+N197+N206)</f>
        <v>501.4197879786052</v>
      </c>
      <c r="O209" s="295"/>
      <c r="P209" s="296"/>
      <c r="Q209" s="295"/>
      <c r="R209" s="295"/>
      <c r="S209" s="575">
        <f>+SUM(S148+S156+S182+S188+S198+S205)</f>
        <v>2509.90876712932</v>
      </c>
      <c r="T209" s="575">
        <f>+SUM(T148+T156+T182+T188+T198+T205)</f>
        <v>765.02019222101671</v>
      </c>
      <c r="U209" s="575">
        <f>+SUM(U138+U147+U158+U163+U170+U182+U189+U202)</f>
        <v>1274.500037</v>
      </c>
      <c r="V209" s="575">
        <f>+SUM(V138+V147+V158+V163+V170+V182+V189+V202)</f>
        <v>388.46761127759999</v>
      </c>
      <c r="W209" s="67"/>
      <c r="X209" s="665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ht="14" thickBot="1" x14ac:dyDescent="0.2">
      <c r="A210" s="633"/>
      <c r="B210" s="634"/>
      <c r="C210" s="634"/>
      <c r="D210" s="634"/>
      <c r="E210" s="634"/>
      <c r="F210" s="634"/>
      <c r="G210" s="634" t="s">
        <v>18</v>
      </c>
      <c r="H210" s="634"/>
      <c r="I210" s="634" t="s">
        <v>18</v>
      </c>
      <c r="J210" s="634"/>
      <c r="K210" s="634"/>
      <c r="L210" s="634"/>
      <c r="M210" s="634" t="s">
        <v>18</v>
      </c>
      <c r="N210" s="634"/>
      <c r="O210" s="634"/>
      <c r="P210" s="634" t="s">
        <v>18</v>
      </c>
      <c r="Q210" s="634"/>
      <c r="R210" s="951"/>
      <c r="S210" s="951"/>
      <c r="T210" s="951"/>
      <c r="U210" s="951"/>
      <c r="V210" s="634"/>
      <c r="W210" s="634"/>
      <c r="X210" s="636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x14ac:dyDescent="0.15">
      <c r="A211" s="637" t="s">
        <v>12</v>
      </c>
      <c r="B211" s="637" t="s">
        <v>2</v>
      </c>
      <c r="C211" s="84"/>
      <c r="D211" s="84" t="s">
        <v>6</v>
      </c>
      <c r="E211" s="84"/>
      <c r="F211" s="84" t="s">
        <v>6</v>
      </c>
      <c r="G211" s="84"/>
      <c r="H211" s="84" t="s">
        <v>10</v>
      </c>
      <c r="I211" s="84"/>
      <c r="J211" s="84" t="s">
        <v>77</v>
      </c>
      <c r="K211" s="84" t="s">
        <v>78</v>
      </c>
      <c r="L211" s="84" t="s">
        <v>19</v>
      </c>
      <c r="M211" s="38"/>
      <c r="N211" s="38"/>
      <c r="O211" s="84" t="s">
        <v>24</v>
      </c>
      <c r="P211" s="84" t="s">
        <v>328</v>
      </c>
      <c r="Q211" s="84" t="s">
        <v>38</v>
      </c>
      <c r="R211" s="84" t="s">
        <v>392</v>
      </c>
      <c r="S211" s="172"/>
      <c r="T211" s="593" t="s">
        <v>696</v>
      </c>
      <c r="U211" s="462" t="s">
        <v>696</v>
      </c>
      <c r="V211" s="462" t="s">
        <v>696</v>
      </c>
      <c r="W211" s="609" t="s">
        <v>696</v>
      </c>
      <c r="X211" s="71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ht="14" thickBot="1" x14ac:dyDescent="0.2">
      <c r="A212" s="627" t="s">
        <v>132</v>
      </c>
      <c r="B212" s="637" t="s">
        <v>3</v>
      </c>
      <c r="C212" s="84"/>
      <c r="D212" s="84" t="s">
        <v>4</v>
      </c>
      <c r="E212" s="84"/>
      <c r="F212" s="84" t="s">
        <v>4</v>
      </c>
      <c r="G212" s="84"/>
      <c r="H212" s="84" t="s">
        <v>9</v>
      </c>
      <c r="I212" s="84"/>
      <c r="J212" s="38"/>
      <c r="K212" s="84"/>
      <c r="L212" s="84" t="s">
        <v>21</v>
      </c>
      <c r="M212" s="84" t="s">
        <v>20</v>
      </c>
      <c r="N212" s="38"/>
      <c r="O212" s="84" t="s">
        <v>25</v>
      </c>
      <c r="P212" s="84" t="s">
        <v>37</v>
      </c>
      <c r="Q212" s="84" t="s">
        <v>40</v>
      </c>
      <c r="R212" s="84"/>
      <c r="S212" s="172"/>
      <c r="T212" s="594" t="s">
        <v>558</v>
      </c>
      <c r="U212" s="638" t="s">
        <v>558</v>
      </c>
      <c r="V212" s="638" t="s">
        <v>559</v>
      </c>
      <c r="W212" s="639" t="s">
        <v>559</v>
      </c>
      <c r="X212" s="71" t="s">
        <v>18</v>
      </c>
      <c r="Y212" s="40" t="s">
        <v>18</v>
      </c>
      <c r="Z212" s="3"/>
      <c r="AA212" s="3"/>
      <c r="AB212" s="3"/>
      <c r="AC212" s="3"/>
      <c r="AD212" s="3"/>
      <c r="AE212" s="3"/>
      <c r="AF212" s="3"/>
      <c r="AG212" s="3"/>
    </row>
    <row r="213" spans="1:33" ht="14" thickBot="1" x14ac:dyDescent="0.2">
      <c r="A213" s="614"/>
      <c r="B213" s="637"/>
      <c r="C213" s="84"/>
      <c r="D213" s="84" t="s">
        <v>5</v>
      </c>
      <c r="E213" s="84"/>
      <c r="F213" s="84" t="s">
        <v>7</v>
      </c>
      <c r="G213" s="84"/>
      <c r="H213" s="84"/>
      <c r="I213" s="84"/>
      <c r="J213" s="84"/>
      <c r="K213" s="84"/>
      <c r="L213" s="38"/>
      <c r="M213" s="38"/>
      <c r="N213" s="38"/>
      <c r="O213" s="38"/>
      <c r="P213" s="38"/>
      <c r="Q213" s="38"/>
      <c r="R213" s="463" t="s">
        <v>16</v>
      </c>
      <c r="S213" s="473" t="s">
        <v>17</v>
      </c>
      <c r="T213" s="614" t="s">
        <v>16</v>
      </c>
      <c r="U213" s="270" t="s">
        <v>17</v>
      </c>
      <c r="V213" s="270" t="s">
        <v>16</v>
      </c>
      <c r="W213" s="615" t="s">
        <v>17</v>
      </c>
      <c r="X213" s="71"/>
      <c r="Y213" s="3"/>
      <c r="Z213" s="3"/>
      <c r="AA213" s="3"/>
      <c r="AB213" s="40" t="s">
        <v>18</v>
      </c>
      <c r="AC213" s="3"/>
      <c r="AD213" s="3"/>
      <c r="AE213" s="3"/>
      <c r="AF213" s="3"/>
      <c r="AG213" s="3"/>
    </row>
    <row r="214" spans="1:33" ht="14" thickBot="1" x14ac:dyDescent="0.2">
      <c r="A214" s="611" t="s">
        <v>13</v>
      </c>
      <c r="B214" s="648" t="s">
        <v>16</v>
      </c>
      <c r="C214" s="612" t="s">
        <v>17</v>
      </c>
      <c r="D214" s="612" t="s">
        <v>16</v>
      </c>
      <c r="E214" s="612" t="s">
        <v>17</v>
      </c>
      <c r="F214" s="612" t="s">
        <v>16</v>
      </c>
      <c r="G214" s="612" t="s">
        <v>17</v>
      </c>
      <c r="H214" s="612" t="s">
        <v>16</v>
      </c>
      <c r="I214" s="612" t="s">
        <v>17</v>
      </c>
      <c r="J214" s="612" t="s">
        <v>79</v>
      </c>
      <c r="K214" s="612" t="s">
        <v>80</v>
      </c>
      <c r="L214" s="295"/>
      <c r="M214" s="295"/>
      <c r="N214" s="295"/>
      <c r="O214" s="295"/>
      <c r="P214" s="295"/>
      <c r="Q214" s="295"/>
      <c r="R214" s="295"/>
      <c r="S214" s="613"/>
      <c r="T214" s="469"/>
      <c r="U214" s="295"/>
      <c r="V214" s="295"/>
      <c r="W214" s="613"/>
      <c r="X214" s="71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x14ac:dyDescent="0.15">
      <c r="A215" s="616" t="s">
        <v>387</v>
      </c>
      <c r="B215" s="211">
        <v>2366</v>
      </c>
      <c r="C215" s="113">
        <f>+B215*0.3048</f>
        <v>721.15680000000009</v>
      </c>
      <c r="D215" s="113">
        <v>275</v>
      </c>
      <c r="E215" s="113">
        <f>+D215*0.3048</f>
        <v>83.820000000000007</v>
      </c>
      <c r="F215" s="113">
        <v>1686</v>
      </c>
      <c r="G215" s="113">
        <f>+F215*0.3048</f>
        <v>513.89280000000008</v>
      </c>
      <c r="H215" s="38">
        <v>64.75</v>
      </c>
      <c r="I215" s="113">
        <f>+H215*0.3048</f>
        <v>19.735800000000001</v>
      </c>
      <c r="J215" s="38"/>
      <c r="K215" s="113" t="s">
        <v>81</v>
      </c>
      <c r="L215" s="113">
        <v>1</v>
      </c>
      <c r="M215" s="38">
        <v>0</v>
      </c>
      <c r="N215" s="38"/>
      <c r="O215" s="38">
        <v>0</v>
      </c>
      <c r="P215" s="113">
        <v>1</v>
      </c>
      <c r="Q215" s="113">
        <v>0</v>
      </c>
      <c r="R215" s="38"/>
      <c r="S215" s="38"/>
      <c r="T215" s="649">
        <v>206.6</v>
      </c>
      <c r="U215" s="78">
        <f>+T215*0.3048</f>
        <v>62.971679999999999</v>
      </c>
      <c r="V215" s="131">
        <v>222.9</v>
      </c>
      <c r="W215" s="194">
        <f>+V215*0.3048</f>
        <v>67.939920000000001</v>
      </c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x14ac:dyDescent="0.15">
      <c r="A216" s="617" t="s">
        <v>386</v>
      </c>
      <c r="B216" s="262">
        <v>3519</v>
      </c>
      <c r="C216" s="113">
        <f>+B216*0.3048</f>
        <v>1072.5912000000001</v>
      </c>
      <c r="D216" s="38">
        <v>128.5</v>
      </c>
      <c r="E216" s="113">
        <f>+D216*0.3048</f>
        <v>39.166800000000002</v>
      </c>
      <c r="F216" s="38">
        <v>1490</v>
      </c>
      <c r="G216" s="113">
        <f>+F216*0.3048</f>
        <v>454.15200000000004</v>
      </c>
      <c r="H216" s="38">
        <v>63</v>
      </c>
      <c r="I216" s="113">
        <f>+H216*0.3048</f>
        <v>19.202400000000001</v>
      </c>
      <c r="J216" s="113" t="s">
        <v>18</v>
      </c>
      <c r="K216" s="299" t="s">
        <v>81</v>
      </c>
      <c r="L216" s="38">
        <v>0</v>
      </c>
      <c r="M216" s="38">
        <v>0</v>
      </c>
      <c r="N216" s="38"/>
      <c r="O216" s="38">
        <v>0</v>
      </c>
      <c r="P216" s="38">
        <v>1</v>
      </c>
      <c r="Q216" s="38">
        <v>0</v>
      </c>
      <c r="R216" s="38"/>
      <c r="S216" s="38"/>
      <c r="T216" s="566">
        <v>228.2</v>
      </c>
      <c r="U216" s="38">
        <f>+T216*0.3048</f>
        <v>69.555359999999993</v>
      </c>
      <c r="V216" s="38">
        <v>232.5</v>
      </c>
      <c r="W216" s="172">
        <f>+V216*0.3048</f>
        <v>70.866</v>
      </c>
      <c r="X216" s="40" t="s">
        <v>18</v>
      </c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x14ac:dyDescent="0.15">
      <c r="A217" s="617" t="s">
        <v>389</v>
      </c>
      <c r="B217" s="262">
        <v>4303</v>
      </c>
      <c r="C217" s="113">
        <f>+B217*0.3048</f>
        <v>1311.5544</v>
      </c>
      <c r="D217" s="113">
        <v>1503</v>
      </c>
      <c r="E217" s="113">
        <f>+D217*0.3048</f>
        <v>458.11440000000005</v>
      </c>
      <c r="F217" s="38">
        <v>0</v>
      </c>
      <c r="G217" s="38">
        <v>0</v>
      </c>
      <c r="H217" s="38">
        <v>305.2</v>
      </c>
      <c r="I217" s="113">
        <f>+H217*0.3048</f>
        <v>93.024960000000007</v>
      </c>
      <c r="J217" s="38"/>
      <c r="K217" s="113" t="s">
        <v>81</v>
      </c>
      <c r="L217" s="113">
        <v>3</v>
      </c>
      <c r="M217" s="38">
        <v>0</v>
      </c>
      <c r="N217" s="38" t="s">
        <v>18</v>
      </c>
      <c r="O217" s="38">
        <v>0</v>
      </c>
      <c r="P217" s="38">
        <v>0</v>
      </c>
      <c r="Q217" s="38">
        <v>0</v>
      </c>
      <c r="R217" s="3"/>
      <c r="S217" s="38"/>
      <c r="T217" s="566">
        <v>215.1</v>
      </c>
      <c r="U217" s="38">
        <f>+T217*0.3048</f>
        <v>65.562480000000008</v>
      </c>
      <c r="V217" s="38">
        <v>298.8</v>
      </c>
      <c r="W217" s="172">
        <f>+V217*0.3048</f>
        <v>91.074240000000003</v>
      </c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x14ac:dyDescent="0.15">
      <c r="A218" s="617" t="s">
        <v>391</v>
      </c>
      <c r="B218" s="211">
        <v>959</v>
      </c>
      <c r="C218" s="113">
        <f>+B218*0.3048</f>
        <v>292.3032</v>
      </c>
      <c r="D218" s="38">
        <v>1309</v>
      </c>
      <c r="E218" s="113">
        <f>+D218*0.3048</f>
        <v>398.98320000000001</v>
      </c>
      <c r="F218" s="38">
        <v>0</v>
      </c>
      <c r="G218" s="113">
        <v>0</v>
      </c>
      <c r="H218" s="113">
        <v>317.10000000000002</v>
      </c>
      <c r="I218" s="113">
        <f>+H218*0.3048</f>
        <v>96.652080000000012</v>
      </c>
      <c r="J218" s="113" t="s">
        <v>18</v>
      </c>
      <c r="K218" s="113" t="s">
        <v>81</v>
      </c>
      <c r="L218" s="113">
        <v>1</v>
      </c>
      <c r="M218" s="38">
        <v>2</v>
      </c>
      <c r="N218" s="38"/>
      <c r="O218" s="38">
        <v>0</v>
      </c>
      <c r="P218" s="38">
        <v>2</v>
      </c>
      <c r="Q218" s="38">
        <v>0</v>
      </c>
      <c r="R218" s="25">
        <v>157.69999999999999</v>
      </c>
      <c r="S218" s="38">
        <f>+R218*0.3048</f>
        <v>48.066960000000002</v>
      </c>
      <c r="T218" s="566">
        <v>314</v>
      </c>
      <c r="U218" s="38">
        <f>+T218*0.3048</f>
        <v>95.7072</v>
      </c>
      <c r="V218" s="38">
        <v>314</v>
      </c>
      <c r="W218" s="172">
        <f>+V218*0.3048</f>
        <v>95.7072</v>
      </c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ht="14" thickBot="1" x14ac:dyDescent="0.2">
      <c r="A219" s="670" t="s">
        <v>388</v>
      </c>
      <c r="B219" s="262">
        <v>3180</v>
      </c>
      <c r="C219" s="113">
        <f>+B219*0.3048</f>
        <v>969.26400000000001</v>
      </c>
      <c r="D219" s="113">
        <v>1551</v>
      </c>
      <c r="E219" s="113">
        <f>+D219*0.3048</f>
        <v>472.7448</v>
      </c>
      <c r="F219" s="38">
        <v>2835</v>
      </c>
      <c r="G219" s="113">
        <f>+F219*0.3048</f>
        <v>864.10800000000006</v>
      </c>
      <c r="H219" s="38">
        <v>311.2</v>
      </c>
      <c r="I219" s="113">
        <f>+H219*0.3048</f>
        <v>94.853760000000008</v>
      </c>
      <c r="J219" s="113" t="s">
        <v>18</v>
      </c>
      <c r="K219" s="113" t="s">
        <v>81</v>
      </c>
      <c r="L219" s="113">
        <v>2</v>
      </c>
      <c r="M219" s="38">
        <v>0</v>
      </c>
      <c r="N219" s="38"/>
      <c r="O219" s="113">
        <v>0</v>
      </c>
      <c r="P219" s="113">
        <v>0</v>
      </c>
      <c r="Q219" s="113">
        <v>0</v>
      </c>
      <c r="R219" s="38"/>
      <c r="S219" s="38"/>
      <c r="T219" s="650">
        <v>316</v>
      </c>
      <c r="U219" s="174">
        <f>+T219*0.3048</f>
        <v>96.316800000000001</v>
      </c>
      <c r="V219" s="175">
        <v>316</v>
      </c>
      <c r="W219" s="198">
        <f>+V219*0.3048</f>
        <v>96.316800000000001</v>
      </c>
      <c r="X219" s="3"/>
      <c r="Y219" s="40" t="s">
        <v>18</v>
      </c>
      <c r="Z219" s="3"/>
      <c r="AA219" s="3"/>
      <c r="AB219" s="3"/>
      <c r="AC219" s="3"/>
      <c r="AD219" s="3"/>
      <c r="AE219" s="3"/>
      <c r="AF219" s="3"/>
      <c r="AG219" s="3"/>
    </row>
    <row r="220" spans="1:33" ht="14" thickBot="1" x14ac:dyDescent="0.2">
      <c r="A220" s="618" t="s">
        <v>68</v>
      </c>
      <c r="B220" s="584">
        <f t="shared" ref="B220:I220" si="42">SUM(B215:B219)</f>
        <v>14327</v>
      </c>
      <c r="C220" s="584">
        <f t="shared" si="42"/>
        <v>4366.8696</v>
      </c>
      <c r="D220" s="584">
        <f t="shared" si="42"/>
        <v>4766.5</v>
      </c>
      <c r="E220" s="584">
        <f t="shared" si="42"/>
        <v>1452.8292000000001</v>
      </c>
      <c r="F220" s="584">
        <f t="shared" si="42"/>
        <v>6011</v>
      </c>
      <c r="G220" s="584">
        <f t="shared" si="42"/>
        <v>1832.1528000000003</v>
      </c>
      <c r="H220" s="584">
        <f t="shared" si="42"/>
        <v>1061.25</v>
      </c>
      <c r="I220" s="584">
        <f t="shared" si="42"/>
        <v>323.46900000000005</v>
      </c>
      <c r="J220" s="681"/>
      <c r="K220" s="681" t="s">
        <v>18</v>
      </c>
      <c r="L220" s="584">
        <f>SUM(L215:L219)</f>
        <v>7</v>
      </c>
      <c r="M220" s="584">
        <f>SUM(M215:M219)</f>
        <v>2</v>
      </c>
      <c r="N220" s="584"/>
      <c r="O220" s="584">
        <f t="shared" ref="O220:W220" si="43">SUM(O215:O219)</f>
        <v>0</v>
      </c>
      <c r="P220" s="584">
        <f t="shared" si="43"/>
        <v>4</v>
      </c>
      <c r="Q220" s="584">
        <f t="shared" si="43"/>
        <v>0</v>
      </c>
      <c r="R220" s="584">
        <f t="shared" si="43"/>
        <v>157.69999999999999</v>
      </c>
      <c r="S220" s="584">
        <f t="shared" si="43"/>
        <v>48.066960000000002</v>
      </c>
      <c r="T220" s="682">
        <f t="shared" si="43"/>
        <v>1279.9000000000001</v>
      </c>
      <c r="U220" s="584">
        <f t="shared" si="43"/>
        <v>390.11351999999999</v>
      </c>
      <c r="V220" s="683">
        <f t="shared" si="43"/>
        <v>1384.2</v>
      </c>
      <c r="W220" s="684">
        <f t="shared" si="43"/>
        <v>421.90415999999999</v>
      </c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ht="14" thickBot="1" x14ac:dyDescent="0.2">
      <c r="A221" s="618" t="s">
        <v>286</v>
      </c>
      <c r="B221" s="681"/>
      <c r="C221" s="681"/>
      <c r="D221" s="681"/>
      <c r="E221" s="681"/>
      <c r="F221" s="584">
        <f>+D220+F220</f>
        <v>10777.5</v>
      </c>
      <c r="G221" s="584">
        <f>+F221*0.3048</f>
        <v>3284.982</v>
      </c>
      <c r="H221" s="584" t="s">
        <v>18</v>
      </c>
      <c r="I221" s="584" t="s">
        <v>18</v>
      </c>
      <c r="J221" s="681"/>
      <c r="K221" s="681"/>
      <c r="L221" s="584" t="s">
        <v>18</v>
      </c>
      <c r="M221" s="681"/>
      <c r="N221" s="681"/>
      <c r="O221" s="584" t="s">
        <v>18</v>
      </c>
      <c r="P221" s="584" t="s">
        <v>18</v>
      </c>
      <c r="Q221" s="681"/>
      <c r="R221" s="681"/>
      <c r="S221" s="685"/>
      <c r="T221" s="681" t="s">
        <v>18</v>
      </c>
      <c r="U221" s="681"/>
      <c r="V221" s="681"/>
      <c r="W221" s="685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ht="14" thickBot="1" x14ac:dyDescent="0.2">
      <c r="A222" s="621" t="s">
        <v>319</v>
      </c>
      <c r="B222" s="295"/>
      <c r="C222" s="295"/>
      <c r="D222" s="295" t="s">
        <v>390</v>
      </c>
      <c r="E222" s="296"/>
      <c r="F222" s="295"/>
      <c r="G222" s="295"/>
      <c r="H222" s="295"/>
      <c r="I222" s="295"/>
      <c r="J222" s="296" t="s">
        <v>18</v>
      </c>
      <c r="K222" s="295"/>
      <c r="L222" s="296" t="s">
        <v>18</v>
      </c>
      <c r="M222" s="295"/>
      <c r="N222" s="295"/>
      <c r="O222" s="295"/>
      <c r="P222" s="296" t="s">
        <v>18</v>
      </c>
      <c r="Q222" s="295"/>
      <c r="R222" s="295"/>
      <c r="S222" s="295"/>
      <c r="T222" s="295"/>
      <c r="U222" s="295"/>
      <c r="V222" s="295"/>
      <c r="W222" s="61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ht="14" thickBot="1" x14ac:dyDescent="0.2">
      <c r="A223" s="686"/>
      <c r="B223" s="687"/>
      <c r="C223" s="687"/>
      <c r="D223" s="687"/>
      <c r="E223" s="687"/>
      <c r="F223" s="687"/>
      <c r="G223" s="687" t="s">
        <v>18</v>
      </c>
      <c r="H223" s="687"/>
      <c r="I223" s="687" t="s">
        <v>18</v>
      </c>
      <c r="J223" s="687"/>
      <c r="K223" s="687"/>
      <c r="L223" s="687"/>
      <c r="M223" s="687" t="s">
        <v>18</v>
      </c>
      <c r="N223" s="687"/>
      <c r="O223" s="687"/>
      <c r="P223" s="687" t="s">
        <v>18</v>
      </c>
      <c r="Q223" s="687"/>
      <c r="R223" s="952"/>
      <c r="S223" s="952"/>
      <c r="T223" s="952"/>
      <c r="U223" s="952"/>
      <c r="V223" s="687"/>
      <c r="W223" s="687"/>
      <c r="X223" s="651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x14ac:dyDescent="0.15">
      <c r="A224" s="604" t="s">
        <v>12</v>
      </c>
      <c r="B224" s="637" t="s">
        <v>2</v>
      </c>
      <c r="C224" s="84"/>
      <c r="D224" s="84" t="s">
        <v>6</v>
      </c>
      <c r="E224" s="84"/>
      <c r="F224" s="84" t="s">
        <v>6</v>
      </c>
      <c r="G224" s="84"/>
      <c r="H224" s="84" t="s">
        <v>10</v>
      </c>
      <c r="I224" s="84"/>
      <c r="J224" s="84" t="s">
        <v>77</v>
      </c>
      <c r="K224" s="84" t="s">
        <v>78</v>
      </c>
      <c r="L224" s="84" t="s">
        <v>19</v>
      </c>
      <c r="M224" s="38"/>
      <c r="N224" s="38"/>
      <c r="O224" s="84" t="s">
        <v>24</v>
      </c>
      <c r="P224" s="84" t="s">
        <v>328</v>
      </c>
      <c r="Q224" s="84" t="s">
        <v>38</v>
      </c>
      <c r="R224" s="84" t="s">
        <v>392</v>
      </c>
      <c r="S224" s="172"/>
      <c r="T224" s="605" t="s">
        <v>696</v>
      </c>
      <c r="U224" s="606" t="s">
        <v>696</v>
      </c>
      <c r="V224" s="606" t="s">
        <v>696</v>
      </c>
      <c r="W224" s="607" t="s">
        <v>696</v>
      </c>
      <c r="X224" s="208"/>
      <c r="Y224" s="78"/>
      <c r="Z224" s="78"/>
      <c r="AA224" s="194"/>
      <c r="AB224" s="40" t="s">
        <v>18</v>
      </c>
      <c r="AC224" s="40" t="s">
        <v>18</v>
      </c>
      <c r="AD224" s="3"/>
      <c r="AE224" s="3"/>
      <c r="AF224" s="3"/>
      <c r="AG224" s="3"/>
    </row>
    <row r="225" spans="1:33" ht="14" thickBot="1" x14ac:dyDescent="0.2">
      <c r="A225" s="608" t="s">
        <v>131</v>
      </c>
      <c r="B225" s="637" t="s">
        <v>3</v>
      </c>
      <c r="C225" s="84"/>
      <c r="D225" s="84" t="s">
        <v>4</v>
      </c>
      <c r="E225" s="84"/>
      <c r="F225" s="84" t="s">
        <v>4</v>
      </c>
      <c r="G225" s="84"/>
      <c r="H225" s="84" t="s">
        <v>9</v>
      </c>
      <c r="I225" s="84" t="s">
        <v>18</v>
      </c>
      <c r="J225" s="38"/>
      <c r="K225" s="84"/>
      <c r="L225" s="84" t="s">
        <v>21</v>
      </c>
      <c r="M225" s="84" t="s">
        <v>20</v>
      </c>
      <c r="N225" s="38"/>
      <c r="O225" s="84" t="s">
        <v>25</v>
      </c>
      <c r="P225" s="84" t="s">
        <v>37</v>
      </c>
      <c r="Q225" s="84" t="s">
        <v>40</v>
      </c>
      <c r="R225" s="84"/>
      <c r="S225" s="172"/>
      <c r="T225" s="594" t="s">
        <v>558</v>
      </c>
      <c r="U225" s="638" t="s">
        <v>558</v>
      </c>
      <c r="V225" s="638" t="s">
        <v>559</v>
      </c>
      <c r="W225" s="639" t="s">
        <v>559</v>
      </c>
      <c r="X225" s="211"/>
      <c r="Y225" s="38"/>
      <c r="Z225" s="38"/>
      <c r="AA225" s="172"/>
      <c r="AB225" s="3"/>
      <c r="AC225" s="3"/>
      <c r="AD225" s="3"/>
      <c r="AE225" s="3"/>
      <c r="AF225" s="3"/>
      <c r="AG225" s="3"/>
    </row>
    <row r="226" spans="1:33" ht="14" thickBot="1" x14ac:dyDescent="0.2">
      <c r="A226" s="610"/>
      <c r="B226" s="637"/>
      <c r="C226" s="84"/>
      <c r="D226" s="84" t="s">
        <v>5</v>
      </c>
      <c r="E226" s="84"/>
      <c r="F226" s="84" t="s">
        <v>7</v>
      </c>
      <c r="G226" s="84"/>
      <c r="H226" s="84"/>
      <c r="I226" s="84"/>
      <c r="J226" s="84"/>
      <c r="K226" s="84"/>
      <c r="L226" s="38"/>
      <c r="M226" s="38"/>
      <c r="N226" s="38"/>
      <c r="O226" s="38"/>
      <c r="P226" s="38"/>
      <c r="Q226" s="38"/>
      <c r="R226" s="463" t="s">
        <v>16</v>
      </c>
      <c r="S226" s="473" t="s">
        <v>17</v>
      </c>
      <c r="T226" s="614" t="s">
        <v>16</v>
      </c>
      <c r="U226" s="270" t="s">
        <v>17</v>
      </c>
      <c r="V226" s="270" t="s">
        <v>16</v>
      </c>
      <c r="W226" s="615" t="s">
        <v>17</v>
      </c>
      <c r="X226" s="594" t="s">
        <v>532</v>
      </c>
      <c r="Y226" s="174"/>
      <c r="Z226" s="174"/>
      <c r="AA226" s="198"/>
      <c r="AB226" s="3"/>
      <c r="AC226" s="3"/>
      <c r="AD226" s="3"/>
      <c r="AE226" s="3"/>
      <c r="AF226" s="3"/>
      <c r="AG226" s="3"/>
    </row>
    <row r="227" spans="1:33" ht="14" thickBot="1" x14ac:dyDescent="0.2">
      <c r="A227" s="632" t="s">
        <v>13</v>
      </c>
      <c r="B227" s="648" t="s">
        <v>16</v>
      </c>
      <c r="C227" s="612" t="s">
        <v>17</v>
      </c>
      <c r="D227" s="612" t="s">
        <v>16</v>
      </c>
      <c r="E227" s="612" t="s">
        <v>17</v>
      </c>
      <c r="F227" s="612" t="s">
        <v>16</v>
      </c>
      <c r="G227" s="612" t="s">
        <v>17</v>
      </c>
      <c r="H227" s="612" t="s">
        <v>16</v>
      </c>
      <c r="I227" s="612" t="s">
        <v>17</v>
      </c>
      <c r="J227" s="612" t="s">
        <v>43</v>
      </c>
      <c r="K227" s="612" t="s">
        <v>39</v>
      </c>
      <c r="L227" s="295"/>
      <c r="M227" s="295"/>
      <c r="N227" s="295"/>
      <c r="O227" s="295"/>
      <c r="P227" s="295"/>
      <c r="Q227" s="295"/>
      <c r="R227" s="295"/>
      <c r="S227" s="613"/>
      <c r="T227" s="469"/>
      <c r="U227" s="295"/>
      <c r="V227" s="295"/>
      <c r="W227" s="613"/>
      <c r="X227" s="208"/>
      <c r="Y227" s="78"/>
      <c r="Z227" s="78"/>
      <c r="AA227" s="194"/>
      <c r="AB227" s="3"/>
      <c r="AC227" s="3"/>
      <c r="AD227" s="3"/>
      <c r="AE227" s="3"/>
      <c r="AF227" s="3"/>
      <c r="AG227" s="3"/>
    </row>
    <row r="228" spans="1:33" x14ac:dyDescent="0.15">
      <c r="A228" s="616" t="s">
        <v>530</v>
      </c>
      <c r="B228" s="113">
        <v>3045.4006525180653</v>
      </c>
      <c r="C228" s="113">
        <v>928.23811888750629</v>
      </c>
      <c r="D228" s="113">
        <v>73.944429655555808</v>
      </c>
      <c r="E228" s="467">
        <v>22.53826215901341</v>
      </c>
      <c r="F228" s="113">
        <v>0</v>
      </c>
      <c r="G228" s="113">
        <v>0</v>
      </c>
      <c r="H228" s="113">
        <v>14</v>
      </c>
      <c r="I228" s="113">
        <v>4.2672000000000008</v>
      </c>
      <c r="J228" s="113" t="s">
        <v>18</v>
      </c>
      <c r="K228" s="652" t="s">
        <v>81</v>
      </c>
      <c r="L228" s="113">
        <v>0</v>
      </c>
      <c r="M228" s="113">
        <v>0</v>
      </c>
      <c r="N228" s="113"/>
      <c r="O228" s="113">
        <v>1</v>
      </c>
      <c r="P228" s="113">
        <v>0</v>
      </c>
      <c r="Q228" s="113">
        <v>0</v>
      </c>
      <c r="R228" s="113">
        <v>0</v>
      </c>
      <c r="S228" s="312">
        <v>0</v>
      </c>
      <c r="T228" s="667">
        <v>340</v>
      </c>
      <c r="U228" s="131">
        <f>+T228*0.3048</f>
        <v>103.63200000000001</v>
      </c>
      <c r="V228" s="131">
        <v>242.36</v>
      </c>
      <c r="W228" s="596">
        <f>+V228*0.3048</f>
        <v>73.871328000000005</v>
      </c>
      <c r="X228" s="211" t="s">
        <v>562</v>
      </c>
      <c r="Y228" s="38"/>
      <c r="Z228" s="38"/>
      <c r="AA228" s="172"/>
      <c r="AB228" s="3"/>
      <c r="AC228" s="3"/>
      <c r="AD228" s="3"/>
      <c r="AE228" s="3"/>
      <c r="AF228" s="3"/>
      <c r="AG228" s="3"/>
    </row>
    <row r="229" spans="1:33" x14ac:dyDescent="0.15">
      <c r="A229" s="669" t="s">
        <v>537</v>
      </c>
      <c r="B229" s="113">
        <v>4113.9121050000003</v>
      </c>
      <c r="C229" s="113">
        <v>1253.9204096040003</v>
      </c>
      <c r="D229" s="113">
        <v>100.83329666667001</v>
      </c>
      <c r="E229" s="113">
        <v>30.73398882400102</v>
      </c>
      <c r="F229" s="299">
        <v>0</v>
      </c>
      <c r="G229" s="113">
        <v>0</v>
      </c>
      <c r="H229" s="113" t="s">
        <v>18</v>
      </c>
      <c r="I229" s="113"/>
      <c r="J229" s="113" t="s">
        <v>18</v>
      </c>
      <c r="K229" s="652" t="s">
        <v>81</v>
      </c>
      <c r="L229" s="113">
        <v>0</v>
      </c>
      <c r="M229" s="113">
        <v>0</v>
      </c>
      <c r="N229" s="113"/>
      <c r="O229" s="113">
        <v>0</v>
      </c>
      <c r="P229" s="113">
        <v>1</v>
      </c>
      <c r="Q229" s="113">
        <v>1</v>
      </c>
      <c r="R229" s="299">
        <v>0</v>
      </c>
      <c r="S229" s="330">
        <v>0</v>
      </c>
      <c r="T229" s="262">
        <v>359.19</v>
      </c>
      <c r="U229" s="113">
        <f>+T229*0.3048</f>
        <v>109.48111200000001</v>
      </c>
      <c r="V229" s="113">
        <v>324.02</v>
      </c>
      <c r="W229" s="312">
        <f>+V229*0.3048</f>
        <v>98.761296000000002</v>
      </c>
      <c r="X229" s="211" t="s">
        <v>18</v>
      </c>
      <c r="Y229" s="38"/>
      <c r="Z229" s="38"/>
      <c r="AA229" s="172"/>
      <c r="AB229" s="3"/>
      <c r="AC229" s="3"/>
      <c r="AD229" s="3"/>
      <c r="AE229" s="3"/>
      <c r="AF229" s="3"/>
      <c r="AG229" s="3"/>
    </row>
    <row r="230" spans="1:33" x14ac:dyDescent="0.15">
      <c r="A230" s="617" t="s">
        <v>538</v>
      </c>
      <c r="B230" s="113">
        <v>3919.2206587441178</v>
      </c>
      <c r="C230" s="113">
        <v>1194.578456785207</v>
      </c>
      <c r="D230" s="113">
        <v>87.388857111114021</v>
      </c>
      <c r="E230" s="113">
        <v>26.636123647467556</v>
      </c>
      <c r="F230" s="113">
        <v>864.58000388890002</v>
      </c>
      <c r="G230" s="113">
        <v>263.5239851853367</v>
      </c>
      <c r="H230" s="113">
        <v>14.083466700000001</v>
      </c>
      <c r="I230" s="113">
        <v>4.292640650160001</v>
      </c>
      <c r="J230" s="113" t="s">
        <v>18</v>
      </c>
      <c r="K230" s="113" t="s">
        <v>81</v>
      </c>
      <c r="L230" s="299">
        <v>0</v>
      </c>
      <c r="M230" s="113">
        <v>0</v>
      </c>
      <c r="N230" s="113" t="s">
        <v>18</v>
      </c>
      <c r="O230" s="113">
        <v>6</v>
      </c>
      <c r="P230" s="113">
        <v>1</v>
      </c>
      <c r="Q230" s="113">
        <v>1</v>
      </c>
      <c r="R230" s="299">
        <v>0</v>
      </c>
      <c r="S230" s="330">
        <v>0</v>
      </c>
      <c r="T230" s="262">
        <v>304.67</v>
      </c>
      <c r="U230" s="113">
        <f>+T230*0.3048</f>
        <v>92.863416000000015</v>
      </c>
      <c r="V230" s="113">
        <v>271.39</v>
      </c>
      <c r="W230" s="312">
        <f>+V230*0.3048</f>
        <v>82.719672000000003</v>
      </c>
      <c r="X230" s="211"/>
      <c r="Y230" s="38"/>
      <c r="Z230" s="38"/>
      <c r="AA230" s="172"/>
      <c r="AB230" s="3"/>
      <c r="AC230" s="3"/>
      <c r="AD230" s="3"/>
      <c r="AE230" s="3"/>
      <c r="AF230" s="3"/>
      <c r="AG230" s="3"/>
    </row>
    <row r="231" spans="1:33" x14ac:dyDescent="0.15">
      <c r="A231" s="617" t="s">
        <v>539</v>
      </c>
      <c r="B231" s="113">
        <v>6246.5037456670516</v>
      </c>
      <c r="C231" s="113">
        <v>1903.9343416793172</v>
      </c>
      <c r="D231" s="113">
        <v>257.55641100000003</v>
      </c>
      <c r="E231" s="113">
        <v>78.5031940728</v>
      </c>
      <c r="F231" s="113">
        <v>9278.9999893284003</v>
      </c>
      <c r="G231" s="113">
        <v>2828.2391967472963</v>
      </c>
      <c r="H231" s="467">
        <v>343.91669999999999</v>
      </c>
      <c r="I231" s="467">
        <v>104.82581016</v>
      </c>
      <c r="J231" s="467" t="s">
        <v>18</v>
      </c>
      <c r="K231" s="652" t="s">
        <v>81</v>
      </c>
      <c r="L231" s="467">
        <v>0</v>
      </c>
      <c r="M231" s="467">
        <v>0</v>
      </c>
      <c r="N231" s="467"/>
      <c r="O231" s="467">
        <v>0</v>
      </c>
      <c r="P231" s="467">
        <v>0</v>
      </c>
      <c r="Q231" s="467">
        <v>0</v>
      </c>
      <c r="R231" s="467">
        <v>0</v>
      </c>
      <c r="S231" s="474">
        <v>0</v>
      </c>
      <c r="T231" s="676">
        <v>259.17</v>
      </c>
      <c r="U231" s="113">
        <f>+T231*0.3048</f>
        <v>78.995016000000007</v>
      </c>
      <c r="V231" s="467">
        <v>180.13</v>
      </c>
      <c r="W231" s="312">
        <f>+V231*0.3048</f>
        <v>54.903624000000001</v>
      </c>
      <c r="X231" s="486"/>
      <c r="Y231" s="38"/>
      <c r="Z231" s="38"/>
      <c r="AA231" s="172"/>
      <c r="AB231" s="3"/>
      <c r="AC231" s="3"/>
      <c r="AD231" s="3"/>
      <c r="AE231" s="3"/>
      <c r="AF231" s="3"/>
      <c r="AG231" s="3"/>
    </row>
    <row r="232" spans="1:33" ht="14" thickBot="1" x14ac:dyDescent="0.2">
      <c r="A232" s="670" t="s">
        <v>541</v>
      </c>
      <c r="B232" s="175">
        <v>2424.2356743190048</v>
      </c>
      <c r="C232" s="175">
        <v>738.90703353243259</v>
      </c>
      <c r="D232" s="175">
        <v>120</v>
      </c>
      <c r="E232" s="175">
        <v>36.576000000000001</v>
      </c>
      <c r="F232" s="175"/>
      <c r="G232" s="175"/>
      <c r="H232" s="175">
        <v>402</v>
      </c>
      <c r="I232" s="466">
        <f>+H232*0.3048</f>
        <v>122.5296</v>
      </c>
      <c r="J232" s="466" t="s">
        <v>18</v>
      </c>
      <c r="K232" s="679" t="s">
        <v>81</v>
      </c>
      <c r="L232" s="466">
        <v>3</v>
      </c>
      <c r="M232" s="466">
        <v>0</v>
      </c>
      <c r="N232" s="466"/>
      <c r="O232" s="175">
        <v>0</v>
      </c>
      <c r="P232" s="466">
        <v>1</v>
      </c>
      <c r="Q232" s="466">
        <v>1</v>
      </c>
      <c r="R232" s="466">
        <v>0</v>
      </c>
      <c r="S232" s="680">
        <v>0</v>
      </c>
      <c r="T232" s="677">
        <v>113.7</v>
      </c>
      <c r="U232" s="175">
        <f>+T232*0.3048</f>
        <v>34.655760000000001</v>
      </c>
      <c r="V232" s="678">
        <v>196.9</v>
      </c>
      <c r="W232" s="675">
        <f>+V232*0.3048</f>
        <v>60.015120000000003</v>
      </c>
      <c r="X232" s="568"/>
      <c r="Y232" s="174"/>
      <c r="Z232" s="174"/>
      <c r="AA232" s="198"/>
      <c r="AB232" s="3"/>
      <c r="AC232" s="3"/>
      <c r="AD232" s="3"/>
      <c r="AE232" s="3"/>
      <c r="AF232" s="3"/>
      <c r="AG232" s="3"/>
    </row>
    <row r="233" spans="1:33" ht="14" thickBot="1" x14ac:dyDescent="0.2">
      <c r="A233" s="462" t="s">
        <v>68</v>
      </c>
      <c r="B233" s="590">
        <f t="shared" ref="B233:I233" si="44">SUM(B228:B232)</f>
        <v>19749.272836248238</v>
      </c>
      <c r="C233" s="575">
        <f t="shared" si="44"/>
        <v>6019.5783604884627</v>
      </c>
      <c r="D233" s="575">
        <f t="shared" si="44"/>
        <v>639.72299443333986</v>
      </c>
      <c r="E233" s="575">
        <f t="shared" si="44"/>
        <v>194.98756870328199</v>
      </c>
      <c r="F233" s="575">
        <f t="shared" si="44"/>
        <v>10143.579993217299</v>
      </c>
      <c r="G233" s="575">
        <f t="shared" si="44"/>
        <v>3091.763181932633</v>
      </c>
      <c r="H233" s="575">
        <f t="shared" si="44"/>
        <v>774.00016670000002</v>
      </c>
      <c r="I233" s="575">
        <f t="shared" si="44"/>
        <v>235.91525081015999</v>
      </c>
      <c r="J233" s="671"/>
      <c r="K233" s="672"/>
      <c r="L233" s="575">
        <f>SUM(L228:L232)</f>
        <v>3</v>
      </c>
      <c r="M233" s="575">
        <f>SUM(M228:M232)</f>
        <v>0</v>
      </c>
      <c r="N233" s="671"/>
      <c r="O233" s="575">
        <f t="shared" ref="O233:W233" si="45">SUM(O228:O232)</f>
        <v>7</v>
      </c>
      <c r="P233" s="575">
        <f t="shared" si="45"/>
        <v>3</v>
      </c>
      <c r="Q233" s="575">
        <f t="shared" si="45"/>
        <v>3</v>
      </c>
      <c r="R233" s="575">
        <f t="shared" si="45"/>
        <v>0</v>
      </c>
      <c r="S233" s="576">
        <f t="shared" si="45"/>
        <v>0</v>
      </c>
      <c r="T233" s="674">
        <f t="shared" si="45"/>
        <v>1376.7300000000002</v>
      </c>
      <c r="U233" s="575">
        <f t="shared" si="45"/>
        <v>419.62730400000004</v>
      </c>
      <c r="V233" s="575">
        <f t="shared" si="45"/>
        <v>1214.8</v>
      </c>
      <c r="W233" s="576">
        <f t="shared" si="45"/>
        <v>370.27104000000003</v>
      </c>
      <c r="X233" s="38"/>
      <c r="Y233" s="38"/>
      <c r="Z233" s="3"/>
      <c r="AA233" s="3"/>
      <c r="AB233" s="3"/>
      <c r="AC233" s="3"/>
      <c r="AD233" s="3"/>
      <c r="AE233" s="3"/>
      <c r="AF233" s="3"/>
      <c r="AG233" s="3"/>
    </row>
    <row r="234" spans="1:33" ht="14" thickBot="1" x14ac:dyDescent="0.2">
      <c r="A234" s="611" t="s">
        <v>286</v>
      </c>
      <c r="B234" s="586"/>
      <c r="C234" s="587" t="s">
        <v>18</v>
      </c>
      <c r="D234" s="587"/>
      <c r="E234" s="587"/>
      <c r="F234" s="575">
        <f>+D233+F233</f>
        <v>10783.302987650639</v>
      </c>
      <c r="G234" s="575">
        <f>+F234*0.3048</f>
        <v>3286.7507506359148</v>
      </c>
      <c r="H234" s="587"/>
      <c r="I234" s="673"/>
      <c r="J234" s="671"/>
      <c r="K234" s="672"/>
      <c r="L234" s="671"/>
      <c r="M234" s="671"/>
      <c r="N234" s="671"/>
      <c r="O234" s="587"/>
      <c r="P234" s="654"/>
      <c r="Q234" s="654"/>
      <c r="R234" s="653"/>
      <c r="S234" s="655"/>
      <c r="T234" s="463"/>
      <c r="U234" s="38"/>
      <c r="V234" s="38"/>
      <c r="W234" s="38"/>
      <c r="X234" s="38"/>
      <c r="Y234" s="38"/>
      <c r="Z234" s="3"/>
      <c r="AA234" s="3"/>
      <c r="AB234" s="3"/>
      <c r="AC234" s="3"/>
      <c r="AD234" s="3"/>
      <c r="AE234" s="3"/>
      <c r="AF234" s="3"/>
      <c r="AG234" s="3"/>
    </row>
    <row r="235" spans="1:33" ht="14" thickBot="1" x14ac:dyDescent="0.2">
      <c r="A235" s="84" t="s">
        <v>18</v>
      </c>
      <c r="B235" s="38"/>
      <c r="C235" s="38"/>
      <c r="D235" s="38"/>
      <c r="E235" s="113" t="s">
        <v>18</v>
      </c>
      <c r="F235" s="38"/>
      <c r="G235" s="38" t="s">
        <v>18</v>
      </c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"/>
      <c r="AA235" s="3"/>
      <c r="AB235" s="3"/>
      <c r="AC235" s="3"/>
      <c r="AD235" s="3"/>
      <c r="AE235" s="3"/>
      <c r="AF235" s="3"/>
      <c r="AG235" s="3"/>
    </row>
    <row r="236" spans="1:33" x14ac:dyDescent="0.15">
      <c r="A236" s="208"/>
      <c r="B236" s="618" t="s">
        <v>49</v>
      </c>
      <c r="C236" s="564"/>
      <c r="D236" s="564"/>
      <c r="E236" s="564" t="s">
        <v>18</v>
      </c>
      <c r="F236" s="564"/>
      <c r="G236" s="564" t="s">
        <v>18</v>
      </c>
      <c r="H236" s="564" t="s">
        <v>50</v>
      </c>
      <c r="I236" s="564"/>
      <c r="J236" s="564"/>
      <c r="K236" s="564"/>
      <c r="L236" s="78"/>
      <c r="M236" s="564"/>
      <c r="N236" s="564"/>
      <c r="O236" s="564" t="s">
        <v>57</v>
      </c>
      <c r="P236" s="564" t="s">
        <v>51</v>
      </c>
      <c r="Q236" s="564"/>
      <c r="R236" s="78"/>
      <c r="S236" s="78"/>
      <c r="T236" s="78"/>
      <c r="U236" s="564" t="s">
        <v>8</v>
      </c>
      <c r="V236" s="78"/>
      <c r="W236" s="564" t="s">
        <v>330</v>
      </c>
      <c r="X236" s="194"/>
      <c r="Y236" s="78"/>
      <c r="Z236" s="78"/>
      <c r="AA236" s="78"/>
      <c r="AB236" s="78"/>
      <c r="AC236" s="194"/>
      <c r="AD236" s="3"/>
      <c r="AE236" s="3"/>
      <c r="AF236" s="3"/>
      <c r="AG236" s="3"/>
    </row>
    <row r="237" spans="1:33" ht="14" thickBot="1" x14ac:dyDescent="0.2">
      <c r="A237" s="568"/>
      <c r="B237" s="614"/>
      <c r="C237" s="270"/>
      <c r="D237" s="270"/>
      <c r="E237" s="270"/>
      <c r="F237" s="270"/>
      <c r="G237" s="270"/>
      <c r="H237" s="270"/>
      <c r="I237" s="270"/>
      <c r="J237" s="270"/>
      <c r="K237" s="270"/>
      <c r="L237" s="174"/>
      <c r="M237" s="270" t="s">
        <v>18</v>
      </c>
      <c r="N237" s="270"/>
      <c r="O237" s="270"/>
      <c r="P237" s="270"/>
      <c r="Q237" s="270"/>
      <c r="R237" s="174"/>
      <c r="S237" s="174"/>
      <c r="T237" s="174"/>
      <c r="U237" s="270"/>
      <c r="V237" s="174"/>
      <c r="W237" s="174"/>
      <c r="X237" s="198"/>
      <c r="Y237" s="270" t="s">
        <v>532</v>
      </c>
      <c r="Z237" s="174"/>
      <c r="AA237" s="174"/>
      <c r="AB237" s="174"/>
      <c r="AC237" s="198"/>
      <c r="AD237" s="3"/>
      <c r="AE237" s="3"/>
      <c r="AF237" s="3"/>
      <c r="AG237" s="3"/>
    </row>
    <row r="238" spans="1:33" ht="15" x14ac:dyDescent="0.15">
      <c r="A238" s="618" t="s">
        <v>310</v>
      </c>
      <c r="B238" s="624" t="s">
        <v>26</v>
      </c>
      <c r="C238" s="625" t="s">
        <v>27</v>
      </c>
      <c r="D238" s="564" t="s">
        <v>32</v>
      </c>
      <c r="E238" s="625" t="s">
        <v>702</v>
      </c>
      <c r="F238" s="625" t="s">
        <v>18</v>
      </c>
      <c r="G238" s="625" t="s">
        <v>28</v>
      </c>
      <c r="H238" s="625" t="s">
        <v>29</v>
      </c>
      <c r="I238" s="625" t="s">
        <v>30</v>
      </c>
      <c r="J238" s="625" t="s">
        <v>31</v>
      </c>
      <c r="K238" s="625" t="s">
        <v>31</v>
      </c>
      <c r="L238" s="625" t="s">
        <v>32</v>
      </c>
      <c r="M238" s="625" t="s">
        <v>31</v>
      </c>
      <c r="N238" s="625" t="s">
        <v>31</v>
      </c>
      <c r="O238" s="625" t="s">
        <v>28</v>
      </c>
      <c r="P238" s="625" t="s">
        <v>29</v>
      </c>
      <c r="Q238" s="625" t="s">
        <v>30</v>
      </c>
      <c r="R238" s="625" t="s">
        <v>32</v>
      </c>
      <c r="S238" s="625" t="s">
        <v>31</v>
      </c>
      <c r="T238" s="625" t="s">
        <v>31</v>
      </c>
      <c r="U238" s="50"/>
      <c r="V238" s="50"/>
      <c r="W238" s="50"/>
      <c r="X238" s="83"/>
      <c r="Y238" s="78"/>
      <c r="Z238" s="78"/>
      <c r="AA238" s="78"/>
      <c r="AB238" s="78"/>
      <c r="AC238" s="194"/>
      <c r="AD238" s="3"/>
      <c r="AE238" s="3"/>
      <c r="AF238" s="3"/>
      <c r="AG238" s="3"/>
    </row>
    <row r="239" spans="1:33" ht="14" thickBot="1" x14ac:dyDescent="0.2">
      <c r="A239" s="627" t="s">
        <v>131</v>
      </c>
      <c r="B239" s="568"/>
      <c r="C239" s="174"/>
      <c r="D239" s="270" t="s">
        <v>33</v>
      </c>
      <c r="E239" s="174">
        <v>3.1415899999999999</v>
      </c>
      <c r="F239" s="175" t="s">
        <v>18</v>
      </c>
      <c r="G239" s="174"/>
      <c r="H239" s="628"/>
      <c r="I239" s="466" t="s">
        <v>18</v>
      </c>
      <c r="J239" s="629" t="s">
        <v>18</v>
      </c>
      <c r="K239" s="629" t="s">
        <v>18</v>
      </c>
      <c r="L239" s="629" t="s">
        <v>33</v>
      </c>
      <c r="M239" s="629" t="s">
        <v>18</v>
      </c>
      <c r="N239" s="629" t="s">
        <v>18</v>
      </c>
      <c r="O239" s="174"/>
      <c r="P239" s="628"/>
      <c r="Q239" s="628"/>
      <c r="R239" s="629" t="s">
        <v>33</v>
      </c>
      <c r="S239" s="34"/>
      <c r="T239" s="34"/>
      <c r="U239" s="174"/>
      <c r="V239" s="174"/>
      <c r="W239" s="174"/>
      <c r="X239" s="198"/>
      <c r="Y239" s="38"/>
      <c r="Z239" s="38"/>
      <c r="AA239" s="38"/>
      <c r="AB239" s="38"/>
      <c r="AC239" s="172"/>
      <c r="AD239" s="3"/>
      <c r="AE239" s="3"/>
      <c r="AF239" s="3"/>
      <c r="AG239" s="3"/>
    </row>
    <row r="240" spans="1:33" ht="14" thickBot="1" x14ac:dyDescent="0.2">
      <c r="A240" s="632" t="s">
        <v>531</v>
      </c>
      <c r="B240" s="469"/>
      <c r="C240" s="295"/>
      <c r="D240" s="295"/>
      <c r="E240" s="653" t="s">
        <v>16</v>
      </c>
      <c r="F240" s="653" t="s">
        <v>17</v>
      </c>
      <c r="G240" s="295"/>
      <c r="H240" s="295"/>
      <c r="I240" s="295"/>
      <c r="J240" s="653" t="s">
        <v>16</v>
      </c>
      <c r="K240" s="653" t="s">
        <v>17</v>
      </c>
      <c r="L240" s="295"/>
      <c r="M240" s="653" t="s">
        <v>16</v>
      </c>
      <c r="N240" s="653" t="s">
        <v>17</v>
      </c>
      <c r="O240" s="295"/>
      <c r="P240" s="295"/>
      <c r="Q240" s="295"/>
      <c r="R240" s="295"/>
      <c r="S240" s="653" t="s">
        <v>16</v>
      </c>
      <c r="T240" s="653" t="s">
        <v>17</v>
      </c>
      <c r="U240" s="653" t="s">
        <v>16</v>
      </c>
      <c r="V240" s="653" t="s">
        <v>17</v>
      </c>
      <c r="W240" s="653" t="s">
        <v>52</v>
      </c>
      <c r="X240" s="655" t="s">
        <v>17</v>
      </c>
      <c r="Y240" s="38"/>
      <c r="Z240" s="38"/>
      <c r="AA240" s="38"/>
      <c r="AB240" s="38"/>
      <c r="AC240" s="172"/>
      <c r="AD240" s="3"/>
      <c r="AE240" s="3"/>
      <c r="AF240" s="3"/>
      <c r="AG240" s="3"/>
    </row>
    <row r="241" spans="1:33" x14ac:dyDescent="0.15">
      <c r="A241" s="657" t="s">
        <v>28</v>
      </c>
      <c r="B241" s="262" t="s">
        <v>18</v>
      </c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172"/>
      <c r="Y241" s="38"/>
      <c r="Z241" s="38"/>
      <c r="AA241" s="38"/>
      <c r="AB241" s="38"/>
      <c r="AC241" s="172"/>
      <c r="AD241" s="3"/>
      <c r="AE241" s="3"/>
      <c r="AF241" s="3"/>
      <c r="AG241" s="3"/>
    </row>
    <row r="242" spans="1:33" x14ac:dyDescent="0.15">
      <c r="A242" s="211">
        <v>7</v>
      </c>
      <c r="B242" s="211">
        <v>1.5833299999999999</v>
      </c>
      <c r="C242" s="113">
        <f>+B242*B242</f>
        <v>2.5069338888999999</v>
      </c>
      <c r="D242" s="38">
        <v>1</v>
      </c>
      <c r="E242" s="113">
        <f>+C242*3.14159*A242*D242</f>
        <v>55.130309052205455</v>
      </c>
      <c r="F242" s="113">
        <f>+E242*0.3048</f>
        <v>16.803718199112222</v>
      </c>
      <c r="G242" s="38">
        <v>22</v>
      </c>
      <c r="H242" s="113">
        <v>1.8333333000000001</v>
      </c>
      <c r="I242" s="113">
        <v>1.8333330000000001</v>
      </c>
      <c r="J242" s="84">
        <f>+G242*H242*I242</f>
        <v>73.944429655555808</v>
      </c>
      <c r="K242" s="84">
        <f>+J242*0.3048</f>
        <v>22.53826215901341</v>
      </c>
      <c r="L242" s="113">
        <v>1</v>
      </c>
      <c r="M242" s="84">
        <f>+G242*H242*I242*L242</f>
        <v>73.944429655555808</v>
      </c>
      <c r="N242" s="84">
        <f>+M242*0.3048</f>
        <v>22.53826215901341</v>
      </c>
      <c r="O242" s="38"/>
      <c r="P242" s="38"/>
      <c r="Q242" s="38"/>
      <c r="R242" s="38"/>
      <c r="S242" s="113" t="s">
        <v>18</v>
      </c>
      <c r="T242" s="38"/>
      <c r="U242" s="38">
        <v>6</v>
      </c>
      <c r="V242" s="467">
        <f>+U242*0.3048</f>
        <v>1.8288000000000002</v>
      </c>
      <c r="W242" s="38"/>
      <c r="X242" s="172"/>
      <c r="Y242" s="113" t="s">
        <v>533</v>
      </c>
      <c r="Z242" s="38"/>
      <c r="AA242" s="38"/>
      <c r="AB242" s="38"/>
      <c r="AC242" s="172"/>
      <c r="AD242" s="3"/>
      <c r="AE242" s="3"/>
      <c r="AF242" s="3"/>
      <c r="AG242" s="3"/>
    </row>
    <row r="243" spans="1:33" x14ac:dyDescent="0.15">
      <c r="A243" s="211">
        <v>13</v>
      </c>
      <c r="B243" s="211">
        <v>7.5</v>
      </c>
      <c r="C243" s="113">
        <f>+B243*B243</f>
        <v>56.25</v>
      </c>
      <c r="D243" s="38">
        <v>1</v>
      </c>
      <c r="E243" s="113">
        <f>+C243*3.14159*A243*D243</f>
        <v>2297.2876875000002</v>
      </c>
      <c r="F243" s="113">
        <f>+E243*0.3048</f>
        <v>700.21328715000004</v>
      </c>
      <c r="G243" s="113" t="s">
        <v>18</v>
      </c>
      <c r="H243" s="113" t="s">
        <v>18</v>
      </c>
      <c r="I243" s="113" t="s">
        <v>18</v>
      </c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>
        <v>8</v>
      </c>
      <c r="V243" s="467">
        <f>+U243*0.3048</f>
        <v>2.4384000000000001</v>
      </c>
      <c r="W243" s="38"/>
      <c r="X243" s="172"/>
      <c r="Y243" s="38"/>
      <c r="Z243" s="38"/>
      <c r="AA243" s="38"/>
      <c r="AB243" s="38"/>
      <c r="AC243" s="172"/>
      <c r="AD243" s="3"/>
      <c r="AE243" s="3"/>
      <c r="AF243" s="3"/>
      <c r="AG243" s="3"/>
    </row>
    <row r="244" spans="1:33" x14ac:dyDescent="0.15">
      <c r="A244" s="211">
        <v>1</v>
      </c>
      <c r="B244" s="211">
        <v>3.5</v>
      </c>
      <c r="C244" s="113">
        <f>+B244*B244</f>
        <v>12.25</v>
      </c>
      <c r="D244" s="38">
        <v>1</v>
      </c>
      <c r="E244" s="113">
        <f>+C244*3.14159*A244*D244</f>
        <v>38.484477499999997</v>
      </c>
      <c r="F244" s="113">
        <f>+E244*0.3048</f>
        <v>11.730068742</v>
      </c>
      <c r="G244" s="38"/>
      <c r="H244" s="113" t="s">
        <v>18</v>
      </c>
      <c r="I244" s="38"/>
      <c r="J244" s="38"/>
      <c r="K244" s="38"/>
      <c r="L244" s="113" t="s">
        <v>18</v>
      </c>
      <c r="M244" s="38"/>
      <c r="N244" s="38"/>
      <c r="O244" s="38"/>
      <c r="P244" s="38"/>
      <c r="Q244" s="38"/>
      <c r="R244" s="38"/>
      <c r="S244" s="38"/>
      <c r="T244" s="38"/>
      <c r="U244" s="84">
        <f>SUM(U242:U243)</f>
        <v>14</v>
      </c>
      <c r="V244" s="84">
        <f>SUM(V242:V243)</f>
        <v>4.2672000000000008</v>
      </c>
      <c r="W244" s="38"/>
      <c r="X244" s="172"/>
      <c r="Y244" s="38"/>
      <c r="Z244" s="38"/>
      <c r="AA244" s="38"/>
      <c r="AB244" s="38"/>
      <c r="AC244" s="172"/>
      <c r="AD244" s="3"/>
      <c r="AE244" s="3"/>
      <c r="AF244" s="3"/>
      <c r="AG244" s="3"/>
    </row>
    <row r="245" spans="1:33" x14ac:dyDescent="0.15">
      <c r="A245" s="211">
        <v>1</v>
      </c>
      <c r="B245" s="211">
        <v>16.66667</v>
      </c>
      <c r="C245" s="113">
        <f>+B245*B245</f>
        <v>277.77788888890001</v>
      </c>
      <c r="D245" s="38">
        <v>0.75</v>
      </c>
      <c r="E245" s="113">
        <f>+C245*3.14159*A245*D245</f>
        <v>654.4981784658595</v>
      </c>
      <c r="F245" s="113">
        <f>+E245*0.3048</f>
        <v>199.49104479639399</v>
      </c>
      <c r="G245" s="38"/>
      <c r="H245" s="113" t="s">
        <v>18</v>
      </c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172"/>
      <c r="Y245" s="38"/>
      <c r="Z245" s="38"/>
      <c r="AA245" s="38"/>
      <c r="AB245" s="38"/>
      <c r="AC245" s="172"/>
      <c r="AD245" s="3"/>
      <c r="AE245" s="3"/>
      <c r="AF245" s="3"/>
      <c r="AG245" s="3"/>
    </row>
    <row r="246" spans="1:33" ht="14" thickBot="1" x14ac:dyDescent="0.2">
      <c r="A246" s="211"/>
      <c r="B246" s="211"/>
      <c r="C246" s="113"/>
      <c r="D246" s="38"/>
      <c r="E246" s="84">
        <f>SUM(E242:E245)</f>
        <v>3045.4006525180653</v>
      </c>
      <c r="F246" s="84">
        <f>SUM(F242:F245)</f>
        <v>928.23811888750629</v>
      </c>
      <c r="G246" s="38"/>
      <c r="H246" s="113" t="s">
        <v>18</v>
      </c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38" t="s">
        <v>18</v>
      </c>
      <c r="T246" s="38"/>
      <c r="U246" s="38"/>
      <c r="V246" s="38"/>
      <c r="W246" s="38"/>
      <c r="X246" s="172"/>
      <c r="Y246" s="38"/>
      <c r="Z246" s="38"/>
      <c r="AA246" s="38"/>
      <c r="AB246" s="38"/>
      <c r="AC246" s="172"/>
      <c r="AD246" s="3"/>
      <c r="AE246" s="3"/>
      <c r="AF246" s="3"/>
      <c r="AG246" s="3"/>
    </row>
    <row r="247" spans="1:33" ht="14" thickBot="1" x14ac:dyDescent="0.2">
      <c r="A247" s="632" t="s">
        <v>534</v>
      </c>
      <c r="B247" s="211"/>
      <c r="C247" s="113"/>
      <c r="D247" s="38"/>
      <c r="E247" s="113"/>
      <c r="F247" s="113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38"/>
      <c r="W247" s="38"/>
      <c r="X247" s="172"/>
      <c r="Y247" s="38"/>
      <c r="Z247" s="38"/>
      <c r="AA247" s="38"/>
      <c r="AB247" s="38"/>
      <c r="AC247" s="172"/>
      <c r="AD247" s="3"/>
      <c r="AE247" s="3"/>
      <c r="AF247" s="3"/>
      <c r="AG247" s="3"/>
    </row>
    <row r="248" spans="1:33" x14ac:dyDescent="0.15">
      <c r="A248" s="657" t="s">
        <v>28</v>
      </c>
      <c r="B248" s="211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113" t="s">
        <v>18</v>
      </c>
      <c r="N248" s="38"/>
      <c r="O248" s="38"/>
      <c r="P248" s="113" t="s">
        <v>18</v>
      </c>
      <c r="Q248" s="38"/>
      <c r="R248" s="38"/>
      <c r="S248" s="38"/>
      <c r="T248" s="38"/>
      <c r="U248" s="38"/>
      <c r="V248" s="38"/>
      <c r="W248" s="38"/>
      <c r="X248" s="172"/>
      <c r="Y248" s="38"/>
      <c r="Z248" s="38"/>
      <c r="AA248" s="38"/>
      <c r="AB248" s="38"/>
      <c r="AC248" s="172"/>
      <c r="AD248" s="3"/>
      <c r="AE248" s="3"/>
      <c r="AF248" s="3"/>
      <c r="AG248" s="3"/>
    </row>
    <row r="249" spans="1:33" x14ac:dyDescent="0.15">
      <c r="A249" s="211">
        <v>23</v>
      </c>
      <c r="B249" s="211">
        <v>7.5</v>
      </c>
      <c r="C249" s="113">
        <f>+B249*B249</f>
        <v>56.25</v>
      </c>
      <c r="D249" s="38">
        <v>1</v>
      </c>
      <c r="E249" s="113">
        <f>+C249*3.14159*A249*D249</f>
        <v>4064.4320625</v>
      </c>
      <c r="F249" s="113">
        <f>+E249*0.3048</f>
        <v>1238.8388926500002</v>
      </c>
      <c r="G249" s="113">
        <v>30</v>
      </c>
      <c r="H249" s="38">
        <v>1.8333330000000001</v>
      </c>
      <c r="I249" s="38">
        <v>1.8333330000000001</v>
      </c>
      <c r="J249" s="84">
        <f>+G249*H249*I249</f>
        <v>100.83329666667001</v>
      </c>
      <c r="K249" s="84">
        <f>+J249*0.3048</f>
        <v>30.73398882400102</v>
      </c>
      <c r="L249" s="38">
        <v>1</v>
      </c>
      <c r="M249" s="84">
        <f>+G249*H249*I249*L249</f>
        <v>100.83329666667001</v>
      </c>
      <c r="N249" s="84">
        <f>+M249*0.3048</f>
        <v>30.73398882400102</v>
      </c>
      <c r="O249" s="38"/>
      <c r="P249" s="38"/>
      <c r="Q249" s="38"/>
      <c r="R249" s="38"/>
      <c r="S249" s="38"/>
      <c r="T249" s="38"/>
      <c r="U249" s="38"/>
      <c r="V249" s="38"/>
      <c r="W249" s="38"/>
      <c r="X249" s="172"/>
      <c r="Y249" s="113" t="s">
        <v>535</v>
      </c>
      <c r="Z249" s="38"/>
      <c r="AA249" s="38"/>
      <c r="AB249" s="38"/>
      <c r="AC249" s="172"/>
      <c r="AD249" s="3"/>
      <c r="AE249" s="3"/>
      <c r="AF249" s="3"/>
      <c r="AG249" s="3"/>
    </row>
    <row r="250" spans="1:33" x14ac:dyDescent="0.15">
      <c r="A250" s="211">
        <v>7</v>
      </c>
      <c r="B250" s="211">
        <v>1.5</v>
      </c>
      <c r="C250" s="113">
        <f>+B250*B250</f>
        <v>2.25</v>
      </c>
      <c r="D250" s="38">
        <v>1</v>
      </c>
      <c r="E250" s="113">
        <f>+C250*3.14159*A250*D250</f>
        <v>49.480042499999996</v>
      </c>
      <c r="F250" s="113">
        <f>+E250*0.3048</f>
        <v>15.081516954</v>
      </c>
      <c r="G250" s="113" t="s">
        <v>18</v>
      </c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  <c r="X250" s="172"/>
      <c r="Y250" s="38">
        <f>8*3.5*7.5</f>
        <v>210</v>
      </c>
      <c r="Z250" s="113" t="s">
        <v>536</v>
      </c>
      <c r="AA250" s="38"/>
      <c r="AB250" s="38"/>
      <c r="AC250" s="172"/>
      <c r="AD250" s="3"/>
      <c r="AE250" s="3"/>
      <c r="AF250" s="3"/>
      <c r="AG250" s="3"/>
    </row>
    <row r="251" spans="1:33" ht="14" thickBot="1" x14ac:dyDescent="0.2">
      <c r="B251" s="211"/>
      <c r="C251" s="38"/>
      <c r="D251" s="38"/>
      <c r="E251" s="84">
        <f>SUM(E249:E250)</f>
        <v>4113.9121050000003</v>
      </c>
      <c r="F251" s="84">
        <f>SUM(F249:F250)</f>
        <v>1253.9204096040003</v>
      </c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  <c r="V251" s="38"/>
      <c r="W251" s="38"/>
      <c r="X251" s="172"/>
      <c r="Y251" s="38"/>
      <c r="Z251" s="38"/>
      <c r="AA251" s="38"/>
      <c r="AB251" s="38"/>
      <c r="AC251" s="172"/>
      <c r="AD251" s="3"/>
      <c r="AE251" s="3"/>
      <c r="AF251" s="3"/>
      <c r="AG251" s="3"/>
    </row>
    <row r="252" spans="1:33" ht="14" thickBot="1" x14ac:dyDescent="0.2">
      <c r="A252" s="632" t="s">
        <v>689</v>
      </c>
      <c r="B252" s="211"/>
      <c r="C252" s="38"/>
      <c r="D252" s="38"/>
      <c r="E252" s="84"/>
      <c r="F252" s="84"/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38"/>
      <c r="W252" s="38"/>
      <c r="X252" s="172"/>
      <c r="Y252" s="38"/>
      <c r="Z252" s="38"/>
      <c r="AA252" s="38"/>
      <c r="AB252" s="38"/>
      <c r="AC252" s="172"/>
      <c r="AD252" s="3"/>
      <c r="AE252" s="3"/>
      <c r="AF252" s="3"/>
      <c r="AG252" s="3"/>
    </row>
    <row r="253" spans="1:33" x14ac:dyDescent="0.15">
      <c r="A253" s="211">
        <v>22</v>
      </c>
      <c r="B253" s="262">
        <v>7.5</v>
      </c>
      <c r="C253" s="113">
        <f>+B253*B253</f>
        <v>56.25</v>
      </c>
      <c r="D253" s="38">
        <v>1</v>
      </c>
      <c r="E253" s="113">
        <f>+C253*3.14159*A253*D253</f>
        <v>3887.7176250000002</v>
      </c>
      <c r="F253" s="113">
        <f>+E253*0.3048</f>
        <v>1184.9763321</v>
      </c>
      <c r="G253" s="38">
        <v>26</v>
      </c>
      <c r="H253" s="38">
        <v>1.8333330000000001</v>
      </c>
      <c r="I253" s="38">
        <v>1.8333330000000001</v>
      </c>
      <c r="J253" s="84">
        <f>+G253*H253*I253</f>
        <v>87.388857111114021</v>
      </c>
      <c r="K253" s="84">
        <f>+J253*0.3048</f>
        <v>26.636123647467556</v>
      </c>
      <c r="L253" s="38">
        <v>1</v>
      </c>
      <c r="M253" s="84">
        <f>+G253*H253*I253*L253</f>
        <v>87.388857111114021</v>
      </c>
      <c r="N253" s="84">
        <f>+M253*0.3048</f>
        <v>26.636123647467556</v>
      </c>
      <c r="O253" s="38">
        <v>1</v>
      </c>
      <c r="P253" s="38">
        <v>11</v>
      </c>
      <c r="Q253" s="38">
        <v>5</v>
      </c>
      <c r="R253" s="38">
        <v>1</v>
      </c>
      <c r="S253" s="113">
        <f>+O253*P253*Q253*R253</f>
        <v>55</v>
      </c>
      <c r="T253" s="113">
        <f>+S253*0.3048</f>
        <v>16.763999999999999</v>
      </c>
      <c r="U253" s="113">
        <v>6.6668000000000003</v>
      </c>
      <c r="V253" s="467">
        <f>+U253*0.3048</f>
        <v>2.0320406400000004</v>
      </c>
      <c r="W253" s="38"/>
      <c r="X253" s="172"/>
      <c r="Y253" s="113" t="s">
        <v>535</v>
      </c>
      <c r="Z253" s="38"/>
      <c r="AA253" s="38"/>
      <c r="AB253" s="38"/>
      <c r="AC253" s="172"/>
      <c r="AD253" s="3"/>
      <c r="AE253" s="3"/>
      <c r="AF253" s="3"/>
      <c r="AG253" s="3"/>
    </row>
    <row r="254" spans="1:33" x14ac:dyDescent="0.15">
      <c r="A254" s="262">
        <v>4</v>
      </c>
      <c r="B254" s="597">
        <v>1.5833299999999999</v>
      </c>
      <c r="C254" s="113">
        <f>+B254*B254</f>
        <v>2.5069338888999999</v>
      </c>
      <c r="D254" s="38">
        <v>1</v>
      </c>
      <c r="E254" s="113">
        <f>+C254*3.14159*A254*D254</f>
        <v>31.503033744117403</v>
      </c>
      <c r="F254" s="113">
        <f>+E254*0.3048</f>
        <v>9.6021246852069844</v>
      </c>
      <c r="G254" s="38"/>
      <c r="H254" s="38"/>
      <c r="I254" s="38"/>
      <c r="J254" s="38"/>
      <c r="K254" s="38"/>
      <c r="L254" s="38"/>
      <c r="M254" s="38"/>
      <c r="N254" s="38"/>
      <c r="O254" s="38">
        <v>1</v>
      </c>
      <c r="P254" s="38">
        <v>11</v>
      </c>
      <c r="Q254" s="38">
        <v>5</v>
      </c>
      <c r="R254" s="38">
        <v>1</v>
      </c>
      <c r="S254" s="113">
        <f>+O254*P254*Q254*R254</f>
        <v>55</v>
      </c>
      <c r="T254" s="113">
        <f>+S254*0.3048</f>
        <v>16.763999999999999</v>
      </c>
      <c r="U254" s="113">
        <v>7.4166667000000004</v>
      </c>
      <c r="V254" s="467">
        <f>+U254*0.3048</f>
        <v>2.2606000101600001</v>
      </c>
      <c r="W254" s="38"/>
      <c r="X254" s="172"/>
      <c r="Y254" s="38">
        <f>7*3.5*8.5</f>
        <v>208.25</v>
      </c>
      <c r="Z254" s="113" t="s">
        <v>536</v>
      </c>
      <c r="AA254" s="38"/>
      <c r="AB254" s="38"/>
      <c r="AC254" s="172"/>
      <c r="AD254" s="3"/>
      <c r="AE254" s="3"/>
      <c r="AF254" s="3"/>
      <c r="AG254" s="3"/>
    </row>
    <row r="255" spans="1:33" x14ac:dyDescent="0.15">
      <c r="A255" s="211"/>
      <c r="B255" s="211"/>
      <c r="C255" s="38"/>
      <c r="D255" s="38"/>
      <c r="E255" s="84">
        <f>SUM(E253:E254)</f>
        <v>3919.2206587441178</v>
      </c>
      <c r="F255" s="84">
        <f>SUM(F253:F254)</f>
        <v>1194.578456785207</v>
      </c>
      <c r="G255" s="38"/>
      <c r="H255" s="38"/>
      <c r="I255" s="38"/>
      <c r="J255" s="38"/>
      <c r="K255" s="38"/>
      <c r="L255" s="38"/>
      <c r="M255" s="38"/>
      <c r="N255" s="38"/>
      <c r="O255" s="38">
        <v>1</v>
      </c>
      <c r="P255" s="38">
        <v>8.75</v>
      </c>
      <c r="Q255" s="38">
        <v>30</v>
      </c>
      <c r="R255" s="38">
        <v>1</v>
      </c>
      <c r="S255" s="113">
        <f>+O255*P255*Q255*R255</f>
        <v>262.5</v>
      </c>
      <c r="T255" s="113">
        <f>+S255*0.3048</f>
        <v>80.010000000000005</v>
      </c>
      <c r="U255" s="84">
        <f>SUM(U253:U254)</f>
        <v>14.083466700000001</v>
      </c>
      <c r="V255" s="84">
        <f>SUM(V253:V254)</f>
        <v>4.292640650160001</v>
      </c>
      <c r="W255" s="38"/>
      <c r="X255" s="172"/>
      <c r="Y255" s="113" t="s">
        <v>533</v>
      </c>
      <c r="Z255" s="38"/>
      <c r="AA255" s="38"/>
      <c r="AB255" s="38"/>
      <c r="AC255" s="172"/>
      <c r="AD255" s="3"/>
      <c r="AE255" s="3"/>
      <c r="AF255" s="3"/>
      <c r="AG255" s="3"/>
    </row>
    <row r="256" spans="1:33" x14ac:dyDescent="0.15">
      <c r="A256" s="211"/>
      <c r="B256" s="211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>
        <v>1</v>
      </c>
      <c r="P256" s="38">
        <v>15.66667</v>
      </c>
      <c r="Q256" s="38">
        <v>15.16667</v>
      </c>
      <c r="R256" s="38">
        <v>1</v>
      </c>
      <c r="S256" s="113">
        <f>+O256*P256*Q256*R256</f>
        <v>237.61121388889998</v>
      </c>
      <c r="T256" s="113">
        <f>+S256*0.3048</f>
        <v>72.423897993336723</v>
      </c>
      <c r="U256" s="38"/>
      <c r="V256" s="38"/>
      <c r="W256" s="38"/>
      <c r="X256" s="172"/>
      <c r="Y256" s="38"/>
      <c r="Z256" s="38"/>
      <c r="AA256" s="38"/>
      <c r="AB256" s="38"/>
      <c r="AC256" s="172"/>
      <c r="AD256" s="3"/>
      <c r="AE256" s="3"/>
      <c r="AF256" s="3"/>
      <c r="AG256" s="3"/>
    </row>
    <row r="257" spans="1:33" ht="14" thickBot="1" x14ac:dyDescent="0.2">
      <c r="A257" s="211"/>
      <c r="B257" s="211"/>
      <c r="C257" s="38"/>
      <c r="D257" s="38"/>
      <c r="E257" s="38"/>
      <c r="F257" s="38"/>
      <c r="G257" s="113" t="s">
        <v>18</v>
      </c>
      <c r="H257" s="38"/>
      <c r="I257" s="38"/>
      <c r="J257" s="38"/>
      <c r="K257" s="38"/>
      <c r="L257" s="38"/>
      <c r="M257" s="38"/>
      <c r="N257" s="38"/>
      <c r="O257" s="38">
        <v>1</v>
      </c>
      <c r="P257" s="38">
        <v>81</v>
      </c>
      <c r="Q257" s="38">
        <v>3.1415899999999999</v>
      </c>
      <c r="R257" s="38">
        <v>1</v>
      </c>
      <c r="S257" s="113">
        <f>+O257*P257*Q257*R257</f>
        <v>254.46878999999998</v>
      </c>
      <c r="T257" s="113">
        <f>+S257*0.3048</f>
        <v>77.562087191999993</v>
      </c>
      <c r="U257" s="113" t="s">
        <v>18</v>
      </c>
      <c r="V257" s="38" t="s">
        <v>18</v>
      </c>
      <c r="W257" s="38"/>
      <c r="X257" s="172"/>
      <c r="Y257" s="38"/>
      <c r="Z257" s="38"/>
      <c r="AA257" s="38"/>
      <c r="AB257" s="38"/>
      <c r="AC257" s="172"/>
      <c r="AD257" s="3"/>
      <c r="AE257" s="3"/>
      <c r="AF257" s="3"/>
      <c r="AG257" s="3"/>
    </row>
    <row r="258" spans="1:33" ht="14" thickBot="1" x14ac:dyDescent="0.2">
      <c r="A258" s="632" t="s">
        <v>540</v>
      </c>
      <c r="B258" s="211"/>
      <c r="C258" s="38"/>
      <c r="D258" s="38"/>
      <c r="E258" s="113" t="s">
        <v>18</v>
      </c>
      <c r="F258" s="38"/>
      <c r="G258" s="38"/>
      <c r="H258" s="38"/>
      <c r="I258" s="38"/>
      <c r="J258" s="38"/>
      <c r="K258" s="113" t="s">
        <v>18</v>
      </c>
      <c r="L258" s="38"/>
      <c r="M258" s="38"/>
      <c r="N258" s="38"/>
      <c r="O258" s="38"/>
      <c r="P258" s="38"/>
      <c r="Q258" s="38"/>
      <c r="R258" s="38"/>
      <c r="S258" s="84">
        <f>SUM(S253:S257)</f>
        <v>864.58000388890002</v>
      </c>
      <c r="T258" s="462">
        <f>SUM(T253:T257)</f>
        <v>263.5239851853367</v>
      </c>
      <c r="U258" s="38"/>
      <c r="V258" s="38"/>
      <c r="W258" s="38"/>
      <c r="X258" s="172"/>
      <c r="Y258" s="38"/>
      <c r="Z258" s="38"/>
      <c r="AA258" s="38"/>
      <c r="AB258" s="38"/>
      <c r="AC258" s="172"/>
      <c r="AD258" s="3"/>
      <c r="AE258" s="3"/>
      <c r="AF258" s="3"/>
      <c r="AG258" s="3"/>
    </row>
    <row r="259" spans="1:33" x14ac:dyDescent="0.15">
      <c r="A259" s="657" t="s">
        <v>28</v>
      </c>
      <c r="B259" s="211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>
        <v>1</v>
      </c>
      <c r="P259" s="38">
        <v>25</v>
      </c>
      <c r="Q259" s="38">
        <v>152</v>
      </c>
      <c r="R259" s="38">
        <v>1</v>
      </c>
      <c r="S259" s="113">
        <f>+O259*P259*Q259*R259</f>
        <v>3800</v>
      </c>
      <c r="T259" s="113">
        <f>+S259*0.3048</f>
        <v>1158.24</v>
      </c>
      <c r="U259" s="38">
        <v>41.666699999999999</v>
      </c>
      <c r="V259" s="467">
        <f>+U259*0.3048</f>
        <v>12.70001016</v>
      </c>
      <c r="W259" s="38"/>
      <c r="X259" s="172"/>
      <c r="Y259" s="113" t="s">
        <v>18</v>
      </c>
      <c r="Z259" s="38"/>
      <c r="AA259" s="38"/>
      <c r="AB259" s="38"/>
      <c r="AC259" s="172"/>
      <c r="AD259" s="3"/>
      <c r="AE259" s="3"/>
      <c r="AF259" s="3"/>
      <c r="AG259" s="3"/>
    </row>
    <row r="260" spans="1:33" x14ac:dyDescent="0.15">
      <c r="A260" s="211">
        <v>42</v>
      </c>
      <c r="B260" s="211">
        <v>4.6666999999999996</v>
      </c>
      <c r="C260" s="113">
        <f t="shared" ref="C260:C267" si="46">+B260*B260</f>
        <v>21.778088889999996</v>
      </c>
      <c r="D260" s="38">
        <v>1</v>
      </c>
      <c r="E260" s="113">
        <f t="shared" ref="E260:E267" si="47">+C260*3.14159*A260*D260</f>
        <v>2873.5487035892734</v>
      </c>
      <c r="F260" s="113">
        <f t="shared" ref="F260:F267" si="48">+E260*0.3048</f>
        <v>875.85764485401057</v>
      </c>
      <c r="G260" s="38">
        <v>1</v>
      </c>
      <c r="H260" s="38">
        <v>25</v>
      </c>
      <c r="I260" s="38">
        <v>7</v>
      </c>
      <c r="J260" s="113">
        <f>+G260*H260*I260</f>
        <v>175</v>
      </c>
      <c r="K260" s="113">
        <f>+J260*0.3048</f>
        <v>53.34</v>
      </c>
      <c r="L260" s="38">
        <v>1</v>
      </c>
      <c r="M260" s="113">
        <f>+G260*H260*I260*L260</f>
        <v>175</v>
      </c>
      <c r="N260" s="113">
        <f>+M260*0.3048</f>
        <v>53.34</v>
      </c>
      <c r="O260" s="38">
        <v>1</v>
      </c>
      <c r="P260" s="38">
        <v>25</v>
      </c>
      <c r="Q260" s="38">
        <v>206</v>
      </c>
      <c r="R260" s="38">
        <v>1</v>
      </c>
      <c r="S260" s="113">
        <f>+O260*P260*Q260*R260</f>
        <v>5150</v>
      </c>
      <c r="T260" s="113">
        <f>+S260*0.3048</f>
        <v>1569.72</v>
      </c>
      <c r="U260" s="38">
        <v>24.25</v>
      </c>
      <c r="V260" s="467">
        <f>+U260*0.3048</f>
        <v>7.3914</v>
      </c>
      <c r="W260" s="38"/>
      <c r="X260" s="172"/>
      <c r="Y260" s="113" t="s">
        <v>543</v>
      </c>
      <c r="Z260" s="38"/>
      <c r="AA260" s="38"/>
      <c r="AB260" s="38"/>
      <c r="AC260" s="172"/>
      <c r="AD260" s="3"/>
      <c r="AE260" s="3"/>
      <c r="AF260" s="3"/>
      <c r="AG260" s="3"/>
    </row>
    <row r="261" spans="1:33" x14ac:dyDescent="0.15">
      <c r="A261" s="262">
        <v>6</v>
      </c>
      <c r="B261" s="211">
        <v>2.6666669999999999</v>
      </c>
      <c r="C261" s="113">
        <f t="shared" si="46"/>
        <v>7.1111128888889992</v>
      </c>
      <c r="D261" s="38">
        <v>1</v>
      </c>
      <c r="E261" s="113">
        <f t="shared" si="47"/>
        <v>134.04120684362874</v>
      </c>
      <c r="F261" s="113">
        <f t="shared" si="48"/>
        <v>40.855759845938046</v>
      </c>
      <c r="G261" s="38"/>
      <c r="H261" s="113" t="s">
        <v>18</v>
      </c>
      <c r="I261" s="113" t="s">
        <v>18</v>
      </c>
      <c r="J261" s="38">
        <v>82.556410999999997</v>
      </c>
      <c r="K261" s="113">
        <f>+J261*0.3048</f>
        <v>25.1631940728</v>
      </c>
      <c r="L261" s="38">
        <v>1</v>
      </c>
      <c r="M261" s="113">
        <f>+J261*L261</f>
        <v>82.556410999999997</v>
      </c>
      <c r="N261" s="113">
        <f>++K261*L261</f>
        <v>25.1631940728</v>
      </c>
      <c r="O261" s="38">
        <v>1</v>
      </c>
      <c r="P261" s="38">
        <v>25</v>
      </c>
      <c r="Q261" s="38">
        <v>7</v>
      </c>
      <c r="R261" s="38">
        <v>1</v>
      </c>
      <c r="S261" s="113">
        <f>+O261*P261*Q261*R261</f>
        <v>175</v>
      </c>
      <c r="T261" s="113">
        <f>+S261*0.3048</f>
        <v>53.34</v>
      </c>
      <c r="U261" s="38">
        <v>27</v>
      </c>
      <c r="V261" s="467">
        <f>+U261*0.3048</f>
        <v>8.2295999999999996</v>
      </c>
      <c r="W261" s="38" t="s">
        <v>18</v>
      </c>
      <c r="X261" s="172"/>
      <c r="Y261" s="113">
        <f>+(3*2.1667*9.416667)+(5*3.25)</f>
        <v>77.459277166699991</v>
      </c>
      <c r="Z261" s="113" t="s">
        <v>316</v>
      </c>
      <c r="AA261" s="38"/>
      <c r="AB261" s="38"/>
      <c r="AC261" s="172"/>
      <c r="AD261" s="3"/>
      <c r="AE261" s="3"/>
      <c r="AF261" s="3"/>
      <c r="AG261" s="3"/>
    </row>
    <row r="262" spans="1:33" x14ac:dyDescent="0.15">
      <c r="A262" s="211">
        <v>10</v>
      </c>
      <c r="B262" s="211">
        <v>7.5</v>
      </c>
      <c r="C262" s="113">
        <f t="shared" si="46"/>
        <v>56.25</v>
      </c>
      <c r="D262" s="38">
        <v>1</v>
      </c>
      <c r="E262" s="113">
        <f t="shared" si="47"/>
        <v>1767.1443750000001</v>
      </c>
      <c r="F262" s="113">
        <f t="shared" si="48"/>
        <v>538.62560550000001</v>
      </c>
      <c r="G262" s="38"/>
      <c r="H262" s="38"/>
      <c r="I262" s="113" t="s">
        <v>18</v>
      </c>
      <c r="J262" s="38"/>
      <c r="K262" s="38"/>
      <c r="L262" s="38"/>
      <c r="M262" s="84">
        <f>+SUM(M260:M261)</f>
        <v>257.55641100000003</v>
      </c>
      <c r="N262" s="84">
        <f>+SUM(N260:N261)</f>
        <v>78.5031940728</v>
      </c>
      <c r="O262" s="38">
        <v>1</v>
      </c>
      <c r="P262" s="38">
        <v>10.862780000000001</v>
      </c>
      <c r="Q262" s="38">
        <v>10.862780000000001</v>
      </c>
      <c r="R262" s="38">
        <v>1</v>
      </c>
      <c r="S262" s="113">
        <f>+O262*P262*Q262*R262</f>
        <v>117.99998932840002</v>
      </c>
      <c r="T262" s="113">
        <f>+S262*0.3048</f>
        <v>35.966396747296329</v>
      </c>
      <c r="U262" s="38">
        <v>251</v>
      </c>
      <c r="V262" s="467">
        <f>+U262*0.3048</f>
        <v>76.504800000000003</v>
      </c>
      <c r="W262" s="38"/>
      <c r="X262" s="172"/>
      <c r="Y262" s="38"/>
      <c r="Z262" s="38"/>
      <c r="AA262" s="38"/>
      <c r="AB262" s="38"/>
      <c r="AC262" s="172"/>
      <c r="AD262" s="3"/>
      <c r="AE262" s="3"/>
      <c r="AF262" s="3"/>
      <c r="AG262" s="3"/>
    </row>
    <row r="263" spans="1:33" x14ac:dyDescent="0.15">
      <c r="A263" s="211">
        <v>15</v>
      </c>
      <c r="B263" s="211">
        <v>1.5833333000000001</v>
      </c>
      <c r="C263" s="113">
        <f t="shared" si="46"/>
        <v>2.5069443388888901</v>
      </c>
      <c r="D263" s="38">
        <v>1</v>
      </c>
      <c r="E263" s="113">
        <f t="shared" si="47"/>
        <v>118.13686898414922</v>
      </c>
      <c r="F263" s="113">
        <f t="shared" si="48"/>
        <v>36.008117666368683</v>
      </c>
      <c r="G263" s="38"/>
      <c r="H263" s="113" t="s">
        <v>18</v>
      </c>
      <c r="I263" s="38"/>
      <c r="J263" s="38" t="s">
        <v>18</v>
      </c>
      <c r="K263" s="38"/>
      <c r="L263" s="38"/>
      <c r="M263" s="113" t="s">
        <v>18</v>
      </c>
      <c r="N263" s="113" t="s">
        <v>18</v>
      </c>
      <c r="O263" s="38">
        <v>1</v>
      </c>
      <c r="P263" s="38">
        <v>3</v>
      </c>
      <c r="Q263" s="38">
        <v>12</v>
      </c>
      <c r="R263" s="38">
        <v>1</v>
      </c>
      <c r="S263" s="113">
        <f>+O263*P263*Q263*R263</f>
        <v>36</v>
      </c>
      <c r="T263" s="113">
        <f>+S263*0.3048</f>
        <v>10.972800000000001</v>
      </c>
      <c r="U263" s="84">
        <f>SUM(U259:U262)</f>
        <v>343.91669999999999</v>
      </c>
      <c r="V263" s="463">
        <f>SUM(V259:V262)</f>
        <v>104.82581016</v>
      </c>
      <c r="W263" s="38"/>
      <c r="X263" s="172"/>
      <c r="Y263" s="38"/>
      <c r="Z263" s="38"/>
      <c r="AA263" s="38"/>
      <c r="AB263" s="38"/>
      <c r="AC263" s="172"/>
      <c r="AD263" s="3"/>
      <c r="AE263" s="3"/>
      <c r="AF263" s="3"/>
      <c r="AG263" s="3"/>
    </row>
    <row r="264" spans="1:33" x14ac:dyDescent="0.15">
      <c r="A264" s="211">
        <v>1</v>
      </c>
      <c r="B264" s="211">
        <v>9.5</v>
      </c>
      <c r="C264" s="113">
        <f t="shared" si="46"/>
        <v>90.25</v>
      </c>
      <c r="D264" s="38">
        <v>1</v>
      </c>
      <c r="E264" s="113">
        <f t="shared" si="47"/>
        <v>283.52849750000001</v>
      </c>
      <c r="F264" s="113">
        <f t="shared" si="48"/>
        <v>86.419486038000002</v>
      </c>
      <c r="G264" s="38"/>
      <c r="H264" s="113" t="s">
        <v>18</v>
      </c>
      <c r="I264" s="38"/>
      <c r="J264" s="38"/>
      <c r="K264" s="38"/>
      <c r="L264" s="113" t="s">
        <v>18</v>
      </c>
      <c r="M264" s="113" t="s">
        <v>18</v>
      </c>
      <c r="N264" s="38"/>
      <c r="O264" s="38"/>
      <c r="P264" s="38"/>
      <c r="Q264" s="38"/>
      <c r="R264" s="113" t="s">
        <v>18</v>
      </c>
      <c r="S264" s="84">
        <f>SUM(S259:S263)</f>
        <v>9278.9999893284003</v>
      </c>
      <c r="T264" s="462">
        <f>SUM(T259:T263)</f>
        <v>2828.2391967472963</v>
      </c>
      <c r="U264" s="38"/>
      <c r="V264" s="38"/>
      <c r="W264" s="38"/>
      <c r="X264" s="172"/>
      <c r="Y264" s="38"/>
      <c r="Z264" s="38"/>
      <c r="AA264" s="38"/>
      <c r="AB264" s="38"/>
      <c r="AC264" s="172"/>
      <c r="AD264" s="3"/>
      <c r="AE264" s="3"/>
      <c r="AF264" s="3"/>
      <c r="AG264" s="3"/>
    </row>
    <row r="265" spans="1:33" x14ac:dyDescent="0.15">
      <c r="A265" s="211">
        <v>1</v>
      </c>
      <c r="B265" s="211">
        <v>25</v>
      </c>
      <c r="C265" s="113">
        <f t="shared" si="46"/>
        <v>625</v>
      </c>
      <c r="D265" s="38">
        <v>0.5</v>
      </c>
      <c r="E265" s="113">
        <f t="shared" si="47"/>
        <v>981.74687499999993</v>
      </c>
      <c r="F265" s="299">
        <f t="shared" si="48"/>
        <v>299.2364475</v>
      </c>
      <c r="G265" s="38"/>
      <c r="H265" s="38"/>
      <c r="I265" s="38"/>
      <c r="J265" s="38"/>
      <c r="K265" s="38"/>
      <c r="L265" s="113" t="s">
        <v>18</v>
      </c>
      <c r="M265" s="38"/>
      <c r="N265" s="38"/>
      <c r="O265" s="38"/>
      <c r="P265" s="38"/>
      <c r="Q265" s="38"/>
      <c r="R265" s="38"/>
      <c r="S265" s="38"/>
      <c r="T265" s="38"/>
      <c r="U265" s="38"/>
      <c r="V265" s="38" t="s">
        <v>18</v>
      </c>
      <c r="W265" s="38"/>
      <c r="X265" s="172"/>
      <c r="Y265" s="38"/>
      <c r="Z265" s="38"/>
      <c r="AA265" s="38"/>
      <c r="AB265" s="38"/>
      <c r="AC265" s="172"/>
      <c r="AD265" s="3"/>
      <c r="AE265" s="3"/>
      <c r="AF265" s="3" t="s">
        <v>18</v>
      </c>
      <c r="AG265" s="3"/>
    </row>
    <row r="266" spans="1:33" x14ac:dyDescent="0.15">
      <c r="A266" s="211">
        <v>1</v>
      </c>
      <c r="B266" s="211">
        <v>1.5</v>
      </c>
      <c r="C266" s="113">
        <f t="shared" si="46"/>
        <v>2.25</v>
      </c>
      <c r="D266" s="38">
        <v>0.5</v>
      </c>
      <c r="E266" s="299">
        <f t="shared" si="47"/>
        <v>3.53428875</v>
      </c>
      <c r="F266" s="299">
        <f t="shared" si="48"/>
        <v>1.0772512110000001</v>
      </c>
      <c r="G266" s="38"/>
      <c r="H266" s="113" t="s">
        <v>18</v>
      </c>
      <c r="I266" s="38"/>
      <c r="J266" s="38"/>
      <c r="K266" s="38"/>
      <c r="L266" s="113" t="s">
        <v>18</v>
      </c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172"/>
      <c r="Y266" s="38"/>
      <c r="Z266" s="38"/>
      <c r="AA266" s="38"/>
      <c r="AB266" s="38"/>
      <c r="AC266" s="172"/>
      <c r="AD266" s="3"/>
      <c r="AE266" s="3"/>
      <c r="AF266" s="3"/>
      <c r="AG266" s="3"/>
    </row>
    <row r="267" spans="1:33" x14ac:dyDescent="0.15">
      <c r="A267" s="211">
        <v>1</v>
      </c>
      <c r="B267" s="211">
        <v>6</v>
      </c>
      <c r="C267" s="113">
        <f t="shared" si="46"/>
        <v>36</v>
      </c>
      <c r="D267" s="38">
        <v>0.75</v>
      </c>
      <c r="E267" s="113">
        <f t="shared" si="47"/>
        <v>84.822929999999999</v>
      </c>
      <c r="F267" s="299">
        <f t="shared" si="48"/>
        <v>25.854029064000002</v>
      </c>
      <c r="G267" s="113"/>
      <c r="H267" s="113" t="s">
        <v>18</v>
      </c>
      <c r="I267" s="38"/>
      <c r="J267" s="38"/>
      <c r="K267" s="38"/>
      <c r="L267" s="113" t="s">
        <v>18</v>
      </c>
      <c r="M267" s="38"/>
      <c r="N267" s="113" t="s">
        <v>18</v>
      </c>
      <c r="O267" s="38"/>
      <c r="P267" s="38"/>
      <c r="Q267" s="38"/>
      <c r="R267" s="38"/>
      <c r="S267" s="38"/>
      <c r="T267" s="38"/>
      <c r="U267" s="38"/>
      <c r="V267" s="38"/>
      <c r="W267" s="38"/>
      <c r="X267" s="172"/>
      <c r="Y267" s="38"/>
      <c r="Z267" s="38"/>
      <c r="AA267" s="38"/>
      <c r="AB267" s="38"/>
      <c r="AC267" s="172"/>
      <c r="AD267" s="3"/>
      <c r="AE267" s="3"/>
      <c r="AF267" s="3"/>
      <c r="AG267" s="3"/>
    </row>
    <row r="268" spans="1:33" ht="14" thickBot="1" x14ac:dyDescent="0.2">
      <c r="A268" s="211"/>
      <c r="B268" s="211"/>
      <c r="C268" s="38"/>
      <c r="D268" s="38"/>
      <c r="E268" s="84">
        <f>SUM(E260:E267)</f>
        <v>6246.5037456670516</v>
      </c>
      <c r="F268" s="84">
        <f>SUM(F260:F267)</f>
        <v>1903.9343416793172</v>
      </c>
      <c r="G268" s="38"/>
      <c r="H268" s="38"/>
      <c r="I268" s="38"/>
      <c r="J268" s="84">
        <f>SUM(J260:J267)</f>
        <v>257.55641100000003</v>
      </c>
      <c r="K268" s="84">
        <f>SUM(K260:K267)</f>
        <v>78.5031940728</v>
      </c>
      <c r="L268" s="38"/>
      <c r="M268" s="38"/>
      <c r="N268" s="38"/>
      <c r="O268" s="38"/>
      <c r="P268" s="38" t="s">
        <v>18</v>
      </c>
      <c r="Q268" s="38"/>
      <c r="R268" s="113" t="s">
        <v>18</v>
      </c>
      <c r="S268" s="38"/>
      <c r="T268" s="113" t="s">
        <v>18</v>
      </c>
      <c r="U268" s="38"/>
      <c r="V268" s="38"/>
      <c r="W268" s="113" t="s">
        <v>18</v>
      </c>
      <c r="X268" s="172"/>
      <c r="Y268" s="38"/>
      <c r="Z268" s="38"/>
      <c r="AA268" s="38"/>
      <c r="AB268" s="38"/>
      <c r="AC268" s="172"/>
      <c r="AD268" s="3"/>
      <c r="AE268" s="3"/>
      <c r="AF268" s="3"/>
      <c r="AG268" s="3"/>
    </row>
    <row r="269" spans="1:33" ht="14" thickBot="1" x14ac:dyDescent="0.2">
      <c r="A269" s="632" t="s">
        <v>542</v>
      </c>
      <c r="B269" s="211"/>
      <c r="C269" s="38"/>
      <c r="D269" s="38"/>
      <c r="E269" s="113" t="s">
        <v>18</v>
      </c>
      <c r="F269" s="38"/>
      <c r="G269" s="113" t="s">
        <v>18</v>
      </c>
      <c r="H269" s="38"/>
      <c r="I269" s="38"/>
      <c r="J269" s="38"/>
      <c r="K269" s="38"/>
      <c r="L269" s="38"/>
      <c r="M269" s="38"/>
      <c r="N269" s="38"/>
      <c r="O269" s="38"/>
      <c r="P269" s="38" t="s">
        <v>18</v>
      </c>
      <c r="Q269" s="38"/>
      <c r="R269" s="38" t="s">
        <v>18</v>
      </c>
      <c r="S269" s="38"/>
      <c r="T269" s="38"/>
      <c r="U269" s="38"/>
      <c r="V269" s="38"/>
      <c r="W269" s="113" t="s">
        <v>18</v>
      </c>
      <c r="X269" s="172"/>
      <c r="Y269" s="38"/>
      <c r="Z269" s="38"/>
      <c r="AA269" s="38"/>
      <c r="AB269" s="38"/>
      <c r="AC269" s="172"/>
      <c r="AD269" s="3"/>
      <c r="AE269" s="3"/>
      <c r="AF269" s="3"/>
      <c r="AG269" s="3"/>
    </row>
    <row r="270" spans="1:33" x14ac:dyDescent="0.15">
      <c r="A270" s="657" t="s">
        <v>28</v>
      </c>
      <c r="B270" s="211"/>
      <c r="C270" s="38"/>
      <c r="D270" s="38"/>
      <c r="E270" s="38" t="s">
        <v>18</v>
      </c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172"/>
      <c r="Y270" s="38"/>
      <c r="Z270" s="38"/>
      <c r="AA270" s="38"/>
      <c r="AB270" s="38"/>
      <c r="AC270" s="172"/>
      <c r="AD270" s="3"/>
      <c r="AE270" s="3"/>
      <c r="AF270" s="3"/>
      <c r="AG270" s="3"/>
    </row>
    <row r="271" spans="1:33" x14ac:dyDescent="0.15">
      <c r="A271" s="211">
        <v>3</v>
      </c>
      <c r="B271" s="211">
        <v>16.666699999999999</v>
      </c>
      <c r="C271" s="113">
        <f>+B271*B271</f>
        <v>277.77888888999996</v>
      </c>
      <c r="D271" s="38">
        <v>0.25</v>
      </c>
      <c r="E271" s="113">
        <f>+C271*3.14159*A271*D271</f>
        <v>654.50053466095119</v>
      </c>
      <c r="F271" s="113">
        <f>+E271*0.3048</f>
        <v>199.49176296465794</v>
      </c>
      <c r="G271" s="38">
        <v>30</v>
      </c>
      <c r="H271" s="38">
        <v>2</v>
      </c>
      <c r="I271" s="38">
        <v>2</v>
      </c>
      <c r="J271" s="84">
        <f>+G271*H271*I271</f>
        <v>120</v>
      </c>
      <c r="K271" s="113">
        <f>+J271*0.3048</f>
        <v>36.576000000000001</v>
      </c>
      <c r="L271" s="38">
        <v>1</v>
      </c>
      <c r="M271" s="84">
        <f>+G271*H271*I271*L271</f>
        <v>120</v>
      </c>
      <c r="N271" s="84">
        <f>+M271*0.3048</f>
        <v>36.576000000000001</v>
      </c>
      <c r="O271" s="113" t="s">
        <v>18</v>
      </c>
      <c r="P271" s="38"/>
      <c r="Q271" s="38"/>
      <c r="R271" s="113" t="s">
        <v>18</v>
      </c>
      <c r="S271" s="38"/>
      <c r="T271" s="38"/>
      <c r="U271" s="84">
        <v>402</v>
      </c>
      <c r="V271" s="463">
        <f>+U271*0.3048</f>
        <v>122.5296</v>
      </c>
      <c r="W271" s="38"/>
      <c r="X271" s="172"/>
      <c r="Y271" s="113" t="s">
        <v>544</v>
      </c>
      <c r="Z271" s="38"/>
      <c r="AA271" s="38"/>
      <c r="AB271" s="38"/>
      <c r="AC271" s="172"/>
      <c r="AD271" s="3"/>
      <c r="AE271" s="3"/>
      <c r="AF271" s="3"/>
      <c r="AG271" s="3"/>
    </row>
    <row r="272" spans="1:33" x14ac:dyDescent="0.15">
      <c r="A272" s="211">
        <v>30</v>
      </c>
      <c r="B272" s="211">
        <v>4.3333000000000004</v>
      </c>
      <c r="C272" s="113">
        <f>+B272*B272</f>
        <v>18.777488890000004</v>
      </c>
      <c r="D272" s="38">
        <v>1</v>
      </c>
      <c r="E272" s="113">
        <f>+C272*3.14159*A272*D272</f>
        <v>1769.7351396580534</v>
      </c>
      <c r="F272" s="113">
        <f>+E272*0.3048</f>
        <v>539.41527056777466</v>
      </c>
      <c r="G272" s="38"/>
      <c r="H272" s="38"/>
      <c r="I272" s="38" t="s">
        <v>18</v>
      </c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172"/>
      <c r="Y272" s="38">
        <f>+(3*2.166667*9.4166667)</f>
        <v>61.208342966666699</v>
      </c>
      <c r="Z272" s="113" t="s">
        <v>316</v>
      </c>
      <c r="AA272" s="38"/>
      <c r="AB272" s="38"/>
      <c r="AC272" s="172"/>
      <c r="AD272" s="3"/>
      <c r="AE272" s="3"/>
      <c r="AF272" s="3"/>
      <c r="AG272" s="3"/>
    </row>
    <row r="273" spans="1:33" ht="14" thickBot="1" x14ac:dyDescent="0.2">
      <c r="A273" s="568"/>
      <c r="B273" s="568"/>
      <c r="C273" s="174"/>
      <c r="D273" s="174"/>
      <c r="E273" s="270">
        <f>SUM(E271:E272)</f>
        <v>2424.2356743190048</v>
      </c>
      <c r="F273" s="270">
        <f>SUM(F271:F272)</f>
        <v>738.90703353243259</v>
      </c>
      <c r="G273" s="174"/>
      <c r="H273" s="174"/>
      <c r="I273" s="175" t="s">
        <v>18</v>
      </c>
      <c r="J273" s="174"/>
      <c r="K273" s="174"/>
      <c r="L273" s="174"/>
      <c r="M273" s="174"/>
      <c r="N273" s="174"/>
      <c r="O273" s="174"/>
      <c r="P273" s="174"/>
      <c r="Q273" s="174"/>
      <c r="R273" s="174"/>
      <c r="S273" s="174"/>
      <c r="T273" s="174"/>
      <c r="U273" s="174" t="s">
        <v>18</v>
      </c>
      <c r="V273" s="174"/>
      <c r="W273" s="174"/>
      <c r="X273" s="198"/>
      <c r="Y273" s="174"/>
      <c r="Z273" s="174"/>
      <c r="AA273" s="174"/>
      <c r="AB273" s="174"/>
      <c r="AC273" s="198"/>
      <c r="AD273" s="3"/>
      <c r="AE273" s="3"/>
      <c r="AF273" s="3"/>
      <c r="AG273" s="3"/>
    </row>
    <row r="274" spans="1:33" ht="14" thickBot="1" x14ac:dyDescent="0.2">
      <c r="A274" s="662" t="s">
        <v>320</v>
      </c>
      <c r="B274" s="295"/>
      <c r="C274" s="295"/>
      <c r="D274" s="295"/>
      <c r="E274" s="575">
        <f>+SUM(E246+E251+E255+E268+E273)</f>
        <v>19749.272836248238</v>
      </c>
      <c r="F274" s="575">
        <f>+SUM(F246+F251+F255+F268+F273)</f>
        <v>6019.5783604884627</v>
      </c>
      <c r="G274" s="295"/>
      <c r="H274" s="295"/>
      <c r="I274" s="295"/>
      <c r="J274" s="295"/>
      <c r="K274" s="295"/>
      <c r="L274" s="295"/>
      <c r="M274" s="575">
        <f>+SUM(M242+M249+M253+M262+M271)</f>
        <v>639.72299443333986</v>
      </c>
      <c r="N274" s="575">
        <f>+SUM(N242+N249+N253+N262+N271)</f>
        <v>194.98756870328199</v>
      </c>
      <c r="O274" s="295"/>
      <c r="P274" s="295"/>
      <c r="Q274" s="295"/>
      <c r="R274" s="295"/>
      <c r="S274" s="575">
        <f>+S258+S264</f>
        <v>10143.579993217299</v>
      </c>
      <c r="T274" s="575">
        <f>+T258+T264</f>
        <v>3091.763181932633</v>
      </c>
      <c r="U274" s="575">
        <f>+SUM(U244+U255+U263+U271)</f>
        <v>774.00016670000002</v>
      </c>
      <c r="V274" s="575">
        <f>+SUM(V244+V255+V263+V271)</f>
        <v>235.91525081015999</v>
      </c>
      <c r="W274" s="295"/>
      <c r="X274" s="613"/>
      <c r="Y274" s="38"/>
      <c r="Z274" s="38"/>
      <c r="AA274" s="38"/>
      <c r="AB274" s="38"/>
      <c r="AC274" s="38"/>
      <c r="AD274" s="3"/>
      <c r="AE274" s="3"/>
      <c r="AF274" s="3"/>
      <c r="AG274" s="3"/>
    </row>
    <row r="275" spans="1:33" ht="14" thickBot="1" x14ac:dyDescent="0.2">
      <c r="A275" s="3"/>
      <c r="B275" s="3"/>
      <c r="C275" s="40" t="s">
        <v>18</v>
      </c>
      <c r="D275" s="3"/>
      <c r="E275" s="3" t="s">
        <v>18</v>
      </c>
      <c r="F275" s="3"/>
      <c r="G275" s="3"/>
      <c r="H275" s="40" t="s">
        <v>18</v>
      </c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8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x14ac:dyDescent="0.15">
      <c r="A276" s="658" t="s">
        <v>12</v>
      </c>
      <c r="B276" s="618" t="s">
        <v>2</v>
      </c>
      <c r="C276" s="564"/>
      <c r="D276" s="564" t="s">
        <v>6</v>
      </c>
      <c r="E276" s="564"/>
      <c r="F276" s="564" t="s">
        <v>6</v>
      </c>
      <c r="G276" s="564"/>
      <c r="H276" s="564" t="s">
        <v>10</v>
      </c>
      <c r="I276" s="564"/>
      <c r="J276" s="564" t="s">
        <v>77</v>
      </c>
      <c r="K276" s="564" t="s">
        <v>78</v>
      </c>
      <c r="L276" s="564" t="s">
        <v>19</v>
      </c>
      <c r="M276" s="78"/>
      <c r="N276" s="78"/>
      <c r="O276" s="564" t="s">
        <v>24</v>
      </c>
      <c r="P276" s="564" t="s">
        <v>328</v>
      </c>
      <c r="Q276" s="564" t="s">
        <v>38</v>
      </c>
      <c r="R276" s="564" t="s">
        <v>392</v>
      </c>
      <c r="S276" s="194"/>
      <c r="T276" s="605" t="s">
        <v>696</v>
      </c>
      <c r="U276" s="606" t="s">
        <v>696</v>
      </c>
      <c r="V276" s="606" t="s">
        <v>696</v>
      </c>
      <c r="W276" s="607" t="s">
        <v>696</v>
      </c>
      <c r="X276" s="38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ht="14" thickBot="1" x14ac:dyDescent="0.2">
      <c r="A277" s="608" t="s">
        <v>445</v>
      </c>
      <c r="B277" s="637" t="s">
        <v>3</v>
      </c>
      <c r="C277" s="84"/>
      <c r="D277" s="84" t="s">
        <v>4</v>
      </c>
      <c r="E277" s="84"/>
      <c r="F277" s="84" t="s">
        <v>4</v>
      </c>
      <c r="G277" s="84"/>
      <c r="H277" s="84" t="s">
        <v>9</v>
      </c>
      <c r="I277" s="84"/>
      <c r="J277" s="38"/>
      <c r="K277" s="84"/>
      <c r="L277" s="84" t="s">
        <v>21</v>
      </c>
      <c r="M277" s="84" t="s">
        <v>20</v>
      </c>
      <c r="N277" s="38"/>
      <c r="O277" s="84" t="s">
        <v>25</v>
      </c>
      <c r="P277" s="84" t="s">
        <v>37</v>
      </c>
      <c r="Q277" s="84" t="s">
        <v>40</v>
      </c>
      <c r="R277" s="84"/>
      <c r="S277" s="172"/>
      <c r="T277" s="594" t="s">
        <v>558</v>
      </c>
      <c r="U277" s="638" t="s">
        <v>558</v>
      </c>
      <c r="V277" s="638" t="s">
        <v>559</v>
      </c>
      <c r="W277" s="639" t="s">
        <v>559</v>
      </c>
      <c r="X277" s="84" t="s">
        <v>18</v>
      </c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ht="14" thickBot="1" x14ac:dyDescent="0.2">
      <c r="A278" s="610"/>
      <c r="B278" s="637"/>
      <c r="C278" s="84"/>
      <c r="D278" s="84" t="s">
        <v>5</v>
      </c>
      <c r="E278" s="84"/>
      <c r="F278" s="84" t="s">
        <v>7</v>
      </c>
      <c r="G278" s="84"/>
      <c r="H278" s="84"/>
      <c r="I278" s="84"/>
      <c r="J278" s="84"/>
      <c r="K278" s="84"/>
      <c r="L278" s="38"/>
      <c r="M278" s="38"/>
      <c r="N278" s="38"/>
      <c r="O278" s="38"/>
      <c r="P278" s="38"/>
      <c r="Q278" s="38"/>
      <c r="R278" s="463" t="s">
        <v>16</v>
      </c>
      <c r="S278" s="473" t="s">
        <v>17</v>
      </c>
      <c r="T278" s="614" t="s">
        <v>16</v>
      </c>
      <c r="U278" s="270" t="s">
        <v>17</v>
      </c>
      <c r="V278" s="270" t="s">
        <v>16</v>
      </c>
      <c r="W278" s="615" t="s">
        <v>17</v>
      </c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ht="14" thickBot="1" x14ac:dyDescent="0.2">
      <c r="A279" s="632" t="s">
        <v>13</v>
      </c>
      <c r="B279" s="648" t="s">
        <v>16</v>
      </c>
      <c r="C279" s="612" t="s">
        <v>17</v>
      </c>
      <c r="D279" s="612" t="s">
        <v>16</v>
      </c>
      <c r="E279" s="612" t="s">
        <v>17</v>
      </c>
      <c r="F279" s="612" t="s">
        <v>16</v>
      </c>
      <c r="G279" s="612" t="s">
        <v>17</v>
      </c>
      <c r="H279" s="612" t="s">
        <v>16</v>
      </c>
      <c r="I279" s="612" t="s">
        <v>17</v>
      </c>
      <c r="J279" s="612" t="s">
        <v>43</v>
      </c>
      <c r="K279" s="612" t="s">
        <v>39</v>
      </c>
      <c r="L279" s="295"/>
      <c r="M279" s="295"/>
      <c r="N279" s="295"/>
      <c r="O279" s="295"/>
      <c r="P279" s="295"/>
      <c r="Q279" s="295"/>
      <c r="R279" s="295"/>
      <c r="S279" s="295"/>
      <c r="T279" s="469"/>
      <c r="U279" s="295"/>
      <c r="V279" s="295"/>
      <c r="W279" s="61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x14ac:dyDescent="0.15">
      <c r="A280" s="616" t="s">
        <v>546</v>
      </c>
      <c r="B280" s="3">
        <v>6923.7831587260498</v>
      </c>
      <c r="C280" s="3">
        <v>2110.3691067796999</v>
      </c>
      <c r="D280" s="3">
        <v>86.297468466566286</v>
      </c>
      <c r="E280" s="3">
        <v>26.303468388609407</v>
      </c>
      <c r="F280" s="3">
        <v>1171.1601087221111</v>
      </c>
      <c r="G280" s="3">
        <v>356.96960113849946</v>
      </c>
      <c r="H280" s="40">
        <v>142.75000299999999</v>
      </c>
      <c r="I280" s="3">
        <v>43.510200914400002</v>
      </c>
      <c r="J280" s="40" t="s">
        <v>81</v>
      </c>
      <c r="K280" s="40" t="s">
        <v>81</v>
      </c>
      <c r="L280" s="3">
        <v>3</v>
      </c>
      <c r="M280" s="3"/>
      <c r="N280" s="3"/>
      <c r="O280" s="3">
        <v>8</v>
      </c>
      <c r="P280" s="3">
        <v>0</v>
      </c>
      <c r="Q280" s="3">
        <v>0</v>
      </c>
      <c r="R280" s="3">
        <v>0</v>
      </c>
      <c r="S280" s="3">
        <v>0</v>
      </c>
      <c r="T280" s="211"/>
      <c r="U280" s="38"/>
      <c r="V280" s="38"/>
      <c r="W280" s="172"/>
      <c r="X280" s="3"/>
      <c r="Y280" s="3"/>
      <c r="Z280" s="40" t="s">
        <v>18</v>
      </c>
      <c r="AA280" s="3"/>
      <c r="AB280" s="3"/>
      <c r="AC280" s="3"/>
      <c r="AD280" s="3"/>
      <c r="AE280" s="3"/>
      <c r="AF280" s="3"/>
      <c r="AG280" s="3"/>
    </row>
    <row r="281" spans="1:33" x14ac:dyDescent="0.15">
      <c r="A281" s="617" t="s">
        <v>549</v>
      </c>
      <c r="B281" s="3">
        <v>5131.8091175509744</v>
      </c>
      <c r="C281" s="3">
        <v>1564.1754190295371</v>
      </c>
      <c r="D281" s="3">
        <v>56.562502750000007</v>
      </c>
      <c r="E281" s="3">
        <v>17.240250838200001</v>
      </c>
      <c r="F281" s="3">
        <v>534.43056782250005</v>
      </c>
      <c r="G281" s="3">
        <v>162.89443707229802</v>
      </c>
      <c r="H281" s="3">
        <v>89.416666699999993</v>
      </c>
      <c r="I281" s="3">
        <v>27.254200010159998</v>
      </c>
      <c r="J281" s="40" t="s">
        <v>81</v>
      </c>
      <c r="K281" s="462" t="s">
        <v>81</v>
      </c>
      <c r="L281" s="3">
        <v>1</v>
      </c>
      <c r="M281" s="3"/>
      <c r="N281" s="3"/>
      <c r="O281" s="3">
        <v>2</v>
      </c>
      <c r="P281" s="3">
        <v>0</v>
      </c>
      <c r="Q281" s="3">
        <v>0</v>
      </c>
      <c r="R281" s="3">
        <v>0</v>
      </c>
      <c r="S281" s="3">
        <v>0</v>
      </c>
      <c r="T281" s="211"/>
      <c r="U281" s="38"/>
      <c r="V281" s="38"/>
      <c r="W281" s="172"/>
      <c r="X281" s="3"/>
      <c r="Y281" s="3"/>
      <c r="Z281" s="3"/>
      <c r="AA281" s="3" t="s">
        <v>18</v>
      </c>
      <c r="AB281" s="3"/>
      <c r="AC281" s="3"/>
      <c r="AD281" s="3"/>
      <c r="AE281" s="3"/>
      <c r="AF281" s="3"/>
      <c r="AG281" s="3"/>
    </row>
    <row r="282" spans="1:33" x14ac:dyDescent="0.15">
      <c r="A282" s="617" t="s">
        <v>551</v>
      </c>
      <c r="B282" s="3">
        <v>8342.5445123065965</v>
      </c>
      <c r="C282" s="3">
        <v>2542.8075673510507</v>
      </c>
      <c r="D282" s="3">
        <v>134.67656957773801</v>
      </c>
      <c r="E282" s="3">
        <v>41.049418407294539</v>
      </c>
      <c r="F282" s="3">
        <v>1182.7750787000011</v>
      </c>
      <c r="G282" s="3">
        <v>360.50984398776035</v>
      </c>
      <c r="H282" s="3">
        <v>57.75</v>
      </c>
      <c r="I282" s="3">
        <v>17.602200000000003</v>
      </c>
      <c r="J282" s="40" t="s">
        <v>81</v>
      </c>
      <c r="K282" s="462" t="s">
        <v>81</v>
      </c>
      <c r="L282" s="3">
        <v>1</v>
      </c>
      <c r="M282" s="3"/>
      <c r="N282" s="3"/>
      <c r="O282" s="3">
        <v>7</v>
      </c>
      <c r="P282" s="3">
        <v>1</v>
      </c>
      <c r="Q282" s="3">
        <v>0</v>
      </c>
      <c r="R282" s="3">
        <v>0</v>
      </c>
      <c r="S282" s="3">
        <v>0</v>
      </c>
      <c r="T282" s="211"/>
      <c r="U282" s="38"/>
      <c r="V282" s="38"/>
      <c r="W282" s="172"/>
      <c r="X282" s="3"/>
      <c r="Y282" s="3"/>
      <c r="Z282" s="3" t="s">
        <v>18</v>
      </c>
      <c r="AA282" s="3"/>
      <c r="AB282" s="3"/>
      <c r="AC282" s="3"/>
      <c r="AD282" s="3"/>
      <c r="AE282" s="3"/>
      <c r="AF282" s="3"/>
      <c r="AG282" s="3"/>
    </row>
    <row r="283" spans="1:33" x14ac:dyDescent="0.15">
      <c r="A283" s="617" t="s">
        <v>555</v>
      </c>
      <c r="B283" s="3">
        <v>10031.800370947472</v>
      </c>
      <c r="C283" s="3">
        <v>3057.6927530647899</v>
      </c>
      <c r="D283" s="3">
        <v>342.72555957854053</v>
      </c>
      <c r="E283" s="3">
        <v>104.46275055953916</v>
      </c>
      <c r="F283" s="3">
        <v>698.73145640000212</v>
      </c>
      <c r="G283" s="3">
        <v>212.97334791072063</v>
      </c>
      <c r="H283" s="3">
        <v>54.833336799999998</v>
      </c>
      <c r="I283" s="3">
        <v>16.713201056639999</v>
      </c>
      <c r="J283" s="40" t="s">
        <v>81</v>
      </c>
      <c r="K283" s="462" t="s">
        <v>81</v>
      </c>
      <c r="L283" s="3">
        <v>1</v>
      </c>
      <c r="M283" s="3"/>
      <c r="N283" s="3"/>
      <c r="O283" s="3">
        <v>1</v>
      </c>
      <c r="P283" s="3">
        <v>1</v>
      </c>
      <c r="Q283" s="3">
        <v>0</v>
      </c>
      <c r="R283" s="3">
        <v>0</v>
      </c>
      <c r="S283" s="3">
        <v>0</v>
      </c>
      <c r="T283" s="211"/>
      <c r="U283" s="38"/>
      <c r="V283" s="38"/>
      <c r="W283" s="172"/>
      <c r="X283" s="3"/>
      <c r="Y283" s="3"/>
      <c r="Z283" s="3" t="s">
        <v>18</v>
      </c>
      <c r="AA283" s="3"/>
      <c r="AB283" s="3"/>
      <c r="AC283" s="3"/>
      <c r="AD283" s="3"/>
      <c r="AE283" s="3"/>
      <c r="AF283" s="3"/>
      <c r="AG283" s="3"/>
    </row>
    <row r="284" spans="1:33" ht="14" thickBot="1" x14ac:dyDescent="0.2">
      <c r="A284" s="670" t="s">
        <v>553</v>
      </c>
      <c r="B284" s="3">
        <v>2580.3581117517751</v>
      </c>
      <c r="C284" s="3">
        <v>786.49315246194124</v>
      </c>
      <c r="D284" s="3">
        <v>53.671587046420001</v>
      </c>
      <c r="E284" s="40">
        <v>16.359099731748813</v>
      </c>
      <c r="F284" s="3">
        <v>986.05989797999996</v>
      </c>
      <c r="G284" s="3">
        <v>300.55105690430401</v>
      </c>
      <c r="H284" s="3">
        <v>89.416667000000004</v>
      </c>
      <c r="I284" s="40">
        <v>27.254200101600002</v>
      </c>
      <c r="J284" s="40" t="s">
        <v>81</v>
      </c>
      <c r="K284" s="462" t="s">
        <v>81</v>
      </c>
      <c r="L284" s="3">
        <v>1</v>
      </c>
      <c r="M284" s="3"/>
      <c r="N284" s="3"/>
      <c r="O284" s="3">
        <v>0</v>
      </c>
      <c r="P284" s="3">
        <v>0</v>
      </c>
      <c r="Q284" s="3">
        <v>0</v>
      </c>
      <c r="R284" s="3">
        <v>0</v>
      </c>
      <c r="S284" s="3">
        <v>0</v>
      </c>
      <c r="T284" s="568"/>
      <c r="U284" s="174"/>
      <c r="V284" s="174"/>
      <c r="W284" s="198"/>
      <c r="X284" s="40" t="s">
        <v>18</v>
      </c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ht="14" thickBot="1" x14ac:dyDescent="0.2">
      <c r="A285" s="640" t="s">
        <v>68</v>
      </c>
      <c r="B285" s="590">
        <f>SUM(B280:B284)</f>
        <v>33010.29527128287</v>
      </c>
      <c r="C285" s="575">
        <f>+B285*0.3048</f>
        <v>10061.537998687019</v>
      </c>
      <c r="D285" s="575">
        <f>SUM(D280:D284)</f>
        <v>673.93368741926474</v>
      </c>
      <c r="E285" s="575">
        <f>+D285*0.3048</f>
        <v>205.4149879253919</v>
      </c>
      <c r="F285" s="575">
        <f>SUM(F280:F284)</f>
        <v>4573.1571096246143</v>
      </c>
      <c r="G285" s="575">
        <f>+F285*0.3048</f>
        <v>1393.8982870135826</v>
      </c>
      <c r="H285" s="575">
        <f>SUM(H280:H284)</f>
        <v>434.1666735</v>
      </c>
      <c r="I285" s="575">
        <f>+H285*0.3048</f>
        <v>132.3340020828</v>
      </c>
      <c r="J285" s="575"/>
      <c r="K285" s="575" t="s">
        <v>18</v>
      </c>
      <c r="L285" s="575">
        <f>SUM(L280:L284)</f>
        <v>7</v>
      </c>
      <c r="M285" s="575"/>
      <c r="N285" s="575"/>
      <c r="O285" s="575">
        <f>SUM(O280:O284)</f>
        <v>18</v>
      </c>
      <c r="P285" s="575">
        <f>SUM(P280:P284)</f>
        <v>2</v>
      </c>
      <c r="Q285" s="575">
        <f>SUM(Q280:Q284)</f>
        <v>0</v>
      </c>
      <c r="R285" s="575">
        <f>SUM(R280:R284)</f>
        <v>0</v>
      </c>
      <c r="S285" s="575">
        <f>SUM(S280:S284)</f>
        <v>0</v>
      </c>
      <c r="T285" s="575">
        <v>1092.5999999999999</v>
      </c>
      <c r="U285" s="575">
        <f>+T285*0.3048</f>
        <v>333.02447999999998</v>
      </c>
      <c r="V285" s="575">
        <v>1080.75</v>
      </c>
      <c r="W285" s="576">
        <f>+V285*0.3048</f>
        <v>329.4126</v>
      </c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ht="14" thickBot="1" x14ac:dyDescent="0.2">
      <c r="A286" s="640" t="s">
        <v>593</v>
      </c>
      <c r="B286" s="632"/>
      <c r="C286" s="65"/>
      <c r="D286" s="65"/>
      <c r="E286" s="65"/>
      <c r="F286" s="575">
        <f>+D285+F285</f>
        <v>5247.0907970438793</v>
      </c>
      <c r="G286" s="575">
        <f>+F286*0.3048</f>
        <v>1599.3132749389745</v>
      </c>
      <c r="H286" s="65"/>
      <c r="I286" s="65"/>
      <c r="J286" s="65"/>
      <c r="K286" s="65" t="s">
        <v>18</v>
      </c>
      <c r="L286" s="65"/>
      <c r="M286" s="65"/>
      <c r="N286" s="65"/>
      <c r="O286" s="65"/>
      <c r="P286" s="65"/>
      <c r="Q286" s="65"/>
      <c r="R286" s="65"/>
      <c r="S286" s="65"/>
      <c r="T286" s="65" t="s">
        <v>18</v>
      </c>
      <c r="U286" s="65"/>
      <c r="V286" s="65"/>
      <c r="W286" s="48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ht="14" thickBot="1" x14ac:dyDescent="0.2">
      <c r="A287" s="3"/>
      <c r="B287" s="3"/>
      <c r="C287" s="3"/>
      <c r="D287" s="40" t="s">
        <v>18</v>
      </c>
      <c r="E287" s="40" t="s">
        <v>18</v>
      </c>
      <c r="F287" s="40" t="s">
        <v>18</v>
      </c>
      <c r="G287" s="40" t="s">
        <v>18</v>
      </c>
      <c r="H287" s="40" t="s">
        <v>18</v>
      </c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8"/>
      <c r="Z287" s="3"/>
      <c r="AA287" s="3"/>
      <c r="AB287" s="3"/>
      <c r="AC287" s="3"/>
      <c r="AD287" s="3"/>
      <c r="AE287" s="3"/>
      <c r="AF287" s="3"/>
      <c r="AG287" s="3"/>
    </row>
    <row r="288" spans="1:33" x14ac:dyDescent="0.15">
      <c r="A288" s="622"/>
      <c r="B288" s="618" t="s">
        <v>49</v>
      </c>
      <c r="C288" s="564"/>
      <c r="D288" s="564"/>
      <c r="E288" s="564" t="s">
        <v>18</v>
      </c>
      <c r="F288" s="564" t="s">
        <v>18</v>
      </c>
      <c r="G288" s="564" t="s">
        <v>18</v>
      </c>
      <c r="H288" s="564" t="s">
        <v>50</v>
      </c>
      <c r="I288" s="564"/>
      <c r="J288" s="564"/>
      <c r="K288" s="564" t="s">
        <v>18</v>
      </c>
      <c r="L288" s="78"/>
      <c r="M288" s="564"/>
      <c r="N288" s="564"/>
      <c r="O288" s="564" t="s">
        <v>57</v>
      </c>
      <c r="P288" s="564" t="s">
        <v>51</v>
      </c>
      <c r="Q288" s="564"/>
      <c r="R288" s="78"/>
      <c r="S288" s="78"/>
      <c r="T288" s="78"/>
      <c r="U288" s="564" t="s">
        <v>8</v>
      </c>
      <c r="V288" s="78"/>
      <c r="W288" s="564" t="s">
        <v>330</v>
      </c>
      <c r="X288" s="78"/>
      <c r="Y288" s="208"/>
      <c r="Z288" s="194"/>
      <c r="AA288" s="3"/>
      <c r="AB288" s="3"/>
      <c r="AC288" s="3"/>
      <c r="AD288" s="3"/>
      <c r="AE288" s="3"/>
      <c r="AF288" s="3"/>
      <c r="AG288" s="3"/>
    </row>
    <row r="289" spans="1:33" ht="14" thickBot="1" x14ac:dyDescent="0.2">
      <c r="A289" s="623"/>
      <c r="B289" s="614"/>
      <c r="C289" s="270"/>
      <c r="D289" s="270"/>
      <c r="E289" s="270"/>
      <c r="F289" s="270" t="s">
        <v>18</v>
      </c>
      <c r="G289" s="270" t="s">
        <v>18</v>
      </c>
      <c r="H289" s="270"/>
      <c r="I289" s="270"/>
      <c r="J289" s="270"/>
      <c r="K289" s="270"/>
      <c r="L289" s="174"/>
      <c r="M289" s="270"/>
      <c r="N289" s="270"/>
      <c r="O289" s="270"/>
      <c r="P289" s="270"/>
      <c r="Q289" s="270"/>
      <c r="R289" s="174"/>
      <c r="S289" s="174"/>
      <c r="T289" s="174"/>
      <c r="U289" s="270"/>
      <c r="V289" s="174"/>
      <c r="W289" s="174"/>
      <c r="X289" s="174"/>
      <c r="Y289" s="614" t="s">
        <v>532</v>
      </c>
      <c r="Z289" s="198"/>
      <c r="AA289" s="3"/>
      <c r="AB289" s="3"/>
      <c r="AC289" s="3"/>
      <c r="AD289" s="3"/>
      <c r="AE289" s="3"/>
      <c r="AF289" s="3"/>
      <c r="AG289" s="3"/>
    </row>
    <row r="290" spans="1:33" ht="15" x14ac:dyDescent="0.15">
      <c r="A290" s="658" t="s">
        <v>310</v>
      </c>
      <c r="B290" s="624" t="s">
        <v>26</v>
      </c>
      <c r="C290" s="625" t="s">
        <v>27</v>
      </c>
      <c r="D290" s="564" t="s">
        <v>32</v>
      </c>
      <c r="E290" s="625" t="s">
        <v>698</v>
      </c>
      <c r="F290" s="50"/>
      <c r="G290" s="625" t="s">
        <v>28</v>
      </c>
      <c r="H290" s="625" t="s">
        <v>29</v>
      </c>
      <c r="I290" s="625" t="s">
        <v>30</v>
      </c>
      <c r="J290" s="625" t="s">
        <v>31</v>
      </c>
      <c r="K290" s="625" t="s">
        <v>31</v>
      </c>
      <c r="L290" s="625" t="s">
        <v>32</v>
      </c>
      <c r="M290" s="625" t="s">
        <v>31</v>
      </c>
      <c r="N290" s="625" t="s">
        <v>31</v>
      </c>
      <c r="O290" s="625" t="s">
        <v>28</v>
      </c>
      <c r="P290" s="625" t="s">
        <v>29</v>
      </c>
      <c r="Q290" s="625" t="s">
        <v>30</v>
      </c>
      <c r="R290" s="625" t="s">
        <v>32</v>
      </c>
      <c r="S290" s="625" t="s">
        <v>31</v>
      </c>
      <c r="T290" s="625" t="s">
        <v>31</v>
      </c>
      <c r="U290" s="625" t="s">
        <v>16</v>
      </c>
      <c r="V290" s="659" t="s">
        <v>53</v>
      </c>
      <c r="W290" s="50"/>
      <c r="X290" s="83"/>
      <c r="Y290" s="208"/>
      <c r="Z290" s="194"/>
      <c r="AA290" s="3"/>
      <c r="AB290" s="3"/>
      <c r="AC290" s="3"/>
      <c r="AD290" s="3"/>
      <c r="AE290" s="3"/>
      <c r="AF290" s="3"/>
      <c r="AG290" s="3"/>
    </row>
    <row r="291" spans="1:33" ht="14" thickBot="1" x14ac:dyDescent="0.2">
      <c r="A291" s="660" t="s">
        <v>445</v>
      </c>
      <c r="B291" s="568"/>
      <c r="C291" s="174"/>
      <c r="D291" s="270" t="s">
        <v>33</v>
      </c>
      <c r="E291" s="174">
        <v>3.1415899999999999</v>
      </c>
      <c r="F291" s="174"/>
      <c r="G291" s="174"/>
      <c r="H291" s="628"/>
      <c r="I291" s="628"/>
      <c r="J291" s="34"/>
      <c r="K291" s="34"/>
      <c r="L291" s="629" t="s">
        <v>33</v>
      </c>
      <c r="M291" s="34"/>
      <c r="N291" s="34"/>
      <c r="O291" s="174"/>
      <c r="P291" s="628"/>
      <c r="Q291" s="628"/>
      <c r="R291" s="629" t="s">
        <v>33</v>
      </c>
      <c r="S291" s="34"/>
      <c r="T291" s="34"/>
      <c r="U291" s="174"/>
      <c r="V291" s="198"/>
      <c r="W291" s="174"/>
      <c r="X291" s="198"/>
      <c r="Y291" s="211"/>
      <c r="Z291" s="172"/>
      <c r="AA291" s="3"/>
      <c r="AB291" s="3"/>
      <c r="AC291" s="3"/>
      <c r="AD291" s="3"/>
      <c r="AE291" s="3"/>
      <c r="AF291" s="3"/>
      <c r="AG291" s="3"/>
    </row>
    <row r="292" spans="1:33" ht="14" thickBot="1" x14ac:dyDescent="0.2">
      <c r="A292" s="632" t="s">
        <v>547</v>
      </c>
      <c r="B292" s="469"/>
      <c r="C292" s="295"/>
      <c r="D292" s="295"/>
      <c r="E292" s="653" t="s">
        <v>16</v>
      </c>
      <c r="F292" s="653" t="s">
        <v>17</v>
      </c>
      <c r="G292" s="295"/>
      <c r="H292" s="295"/>
      <c r="I292" s="295"/>
      <c r="J292" s="653" t="s">
        <v>16</v>
      </c>
      <c r="K292" s="653" t="s">
        <v>17</v>
      </c>
      <c r="L292" s="295"/>
      <c r="M292" s="653" t="s">
        <v>16</v>
      </c>
      <c r="N292" s="653" t="s">
        <v>17</v>
      </c>
      <c r="O292" s="296" t="s">
        <v>18</v>
      </c>
      <c r="P292" s="295"/>
      <c r="Q292" s="295"/>
      <c r="R292" s="295"/>
      <c r="S292" s="653" t="s">
        <v>16</v>
      </c>
      <c r="T292" s="653" t="s">
        <v>17</v>
      </c>
      <c r="U292" s="295"/>
      <c r="V292" s="295"/>
      <c r="W292" s="653" t="s">
        <v>16</v>
      </c>
      <c r="X292" s="655" t="s">
        <v>17</v>
      </c>
      <c r="Y292" s="211"/>
      <c r="Z292" s="172"/>
      <c r="AA292" s="40" t="s">
        <v>18</v>
      </c>
      <c r="AB292" s="40" t="s">
        <v>18</v>
      </c>
      <c r="AC292" s="3"/>
      <c r="AD292" s="3"/>
      <c r="AE292" s="3"/>
      <c r="AF292" s="3"/>
      <c r="AG292" s="3"/>
    </row>
    <row r="293" spans="1:33" x14ac:dyDescent="0.15">
      <c r="A293" s="689" t="s">
        <v>28</v>
      </c>
      <c r="B293" s="262" t="s">
        <v>18</v>
      </c>
      <c r="C293" s="38"/>
      <c r="D293" s="38"/>
      <c r="E293" s="38"/>
      <c r="F293" s="38"/>
      <c r="G293" s="38"/>
      <c r="H293" s="38"/>
      <c r="I293" s="38"/>
      <c r="J293" s="113" t="s">
        <v>18</v>
      </c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W293" s="38"/>
      <c r="X293" s="172"/>
      <c r="Y293" s="211"/>
      <c r="Z293" s="172"/>
      <c r="AA293" s="3"/>
      <c r="AB293" s="3"/>
      <c r="AC293" s="3"/>
      <c r="AD293" s="3"/>
      <c r="AE293" s="3"/>
      <c r="AF293" s="3"/>
      <c r="AG293" s="3"/>
    </row>
    <row r="294" spans="1:33" x14ac:dyDescent="0.15">
      <c r="A294" s="211">
        <v>1</v>
      </c>
      <c r="B294" s="211">
        <v>8</v>
      </c>
      <c r="C294" s="113">
        <f t="shared" ref="C294:C305" si="49">+B294*B294</f>
        <v>64</v>
      </c>
      <c r="D294" s="38">
        <v>1</v>
      </c>
      <c r="E294" s="113">
        <f t="shared" ref="E294:E305" si="50">+C294*3.14159*A294*D294</f>
        <v>201.06175999999999</v>
      </c>
      <c r="F294" s="113">
        <f t="shared" ref="F294:F305" si="51">+E294*0.3048</f>
        <v>61.283624447999998</v>
      </c>
      <c r="G294" s="38">
        <v>1</v>
      </c>
      <c r="H294" s="38">
        <v>3.25</v>
      </c>
      <c r="I294" s="38">
        <v>3</v>
      </c>
      <c r="J294" s="113">
        <f t="shared" ref="J294:J301" si="52">+G294*H294*I294</f>
        <v>9.75</v>
      </c>
      <c r="K294" s="113">
        <f t="shared" ref="K294:K301" si="53">+J294*0.3048</f>
        <v>2.9718</v>
      </c>
      <c r="L294" s="38">
        <v>0.7</v>
      </c>
      <c r="M294" s="113">
        <f t="shared" ref="M294:M301" si="54">+G294*H294*I294*L294</f>
        <v>6.8249999999999993</v>
      </c>
      <c r="N294" s="113">
        <f t="shared" ref="N294:N302" si="55">+M294*0.3048</f>
        <v>2.08026</v>
      </c>
      <c r="O294" s="38">
        <v>1</v>
      </c>
      <c r="P294" s="38">
        <v>3.25</v>
      </c>
      <c r="Q294" s="38">
        <v>3.25</v>
      </c>
      <c r="R294" s="38">
        <v>1</v>
      </c>
      <c r="S294" s="113">
        <f t="shared" ref="S294:S300" si="56">+O294*P294*Q294*R294</f>
        <v>10.5625</v>
      </c>
      <c r="T294" s="113">
        <f t="shared" ref="T294:T300" si="57">+S294*0.3048</f>
        <v>3.2194500000000001</v>
      </c>
      <c r="U294" s="38">
        <v>12.16667</v>
      </c>
      <c r="V294" s="113">
        <f>+U294*0.3048</f>
        <v>3.7084010160000003</v>
      </c>
      <c r="W294" s="38"/>
      <c r="X294" s="172"/>
      <c r="Y294" s="211"/>
      <c r="Z294" s="172"/>
      <c r="AA294" s="3"/>
      <c r="AB294" s="3"/>
      <c r="AC294" s="3"/>
      <c r="AD294" s="3"/>
      <c r="AE294" s="3"/>
      <c r="AF294" s="3"/>
      <c r="AG294" s="3"/>
    </row>
    <row r="295" spans="1:33" x14ac:dyDescent="0.15">
      <c r="A295" s="211">
        <v>1</v>
      </c>
      <c r="B295" s="211">
        <v>11</v>
      </c>
      <c r="C295" s="113">
        <f t="shared" si="49"/>
        <v>121</v>
      </c>
      <c r="D295" s="38">
        <v>1</v>
      </c>
      <c r="E295" s="113">
        <f t="shared" si="50"/>
        <v>380.13238999999999</v>
      </c>
      <c r="F295" s="113">
        <f t="shared" si="51"/>
        <v>115.86435247200001</v>
      </c>
      <c r="G295" s="113">
        <v>1</v>
      </c>
      <c r="H295" s="38">
        <v>3.25</v>
      </c>
      <c r="I295" s="38">
        <v>3.25</v>
      </c>
      <c r="J295" s="113">
        <f t="shared" si="52"/>
        <v>10.5625</v>
      </c>
      <c r="K295" s="113">
        <f t="shared" si="53"/>
        <v>3.2194500000000001</v>
      </c>
      <c r="L295" s="38">
        <v>0.6</v>
      </c>
      <c r="M295" s="113">
        <f t="shared" si="54"/>
        <v>6.3374999999999995</v>
      </c>
      <c r="N295" s="113">
        <f t="shared" si="55"/>
        <v>1.93167</v>
      </c>
      <c r="O295" s="38">
        <v>1</v>
      </c>
      <c r="P295" s="38">
        <v>3.4166669999999999</v>
      </c>
      <c r="Q295" s="38">
        <v>6.8333300000000001</v>
      </c>
      <c r="R295" s="38">
        <v>1</v>
      </c>
      <c r="S295" s="113">
        <f t="shared" si="56"/>
        <v>23.347213111110001</v>
      </c>
      <c r="T295" s="113">
        <f t="shared" si="57"/>
        <v>7.1162305562663288</v>
      </c>
      <c r="U295" s="38">
        <v>86.083332999999996</v>
      </c>
      <c r="V295" s="113">
        <f>+U295*0.3048</f>
        <v>26.238199898400001</v>
      </c>
      <c r="W295" s="38"/>
      <c r="X295" s="172"/>
      <c r="Y295" s="211"/>
      <c r="Z295" s="172"/>
      <c r="AA295" s="3"/>
      <c r="AB295" s="3"/>
      <c r="AC295" s="3"/>
      <c r="AD295" s="3"/>
      <c r="AE295" s="3"/>
      <c r="AF295" s="3"/>
      <c r="AG295" s="3"/>
    </row>
    <row r="296" spans="1:33" x14ac:dyDescent="0.15">
      <c r="A296" s="211">
        <v>1</v>
      </c>
      <c r="B296" s="262">
        <v>4</v>
      </c>
      <c r="C296" s="113">
        <f t="shared" si="49"/>
        <v>16</v>
      </c>
      <c r="D296" s="38">
        <v>1</v>
      </c>
      <c r="E296" s="113">
        <f t="shared" si="50"/>
        <v>50.265439999999998</v>
      </c>
      <c r="F296" s="113">
        <f t="shared" si="51"/>
        <v>15.320906111999999</v>
      </c>
      <c r="G296" s="38">
        <v>1</v>
      </c>
      <c r="H296" s="38">
        <v>3.1666699999999999</v>
      </c>
      <c r="I296" s="38">
        <v>3.1666699999999999</v>
      </c>
      <c r="J296" s="113">
        <f t="shared" si="52"/>
        <v>10.0277988889</v>
      </c>
      <c r="K296" s="113">
        <f t="shared" si="53"/>
        <v>3.0564731013367199</v>
      </c>
      <c r="L296" s="38">
        <v>0.9</v>
      </c>
      <c r="M296" s="113">
        <f t="shared" si="54"/>
        <v>9.0250190000099995</v>
      </c>
      <c r="N296" s="113">
        <f t="shared" si="55"/>
        <v>2.7508257912030478</v>
      </c>
      <c r="O296" s="38">
        <v>1</v>
      </c>
      <c r="P296" s="38">
        <v>11.25</v>
      </c>
      <c r="Q296" s="38">
        <v>7.5</v>
      </c>
      <c r="R296" s="38">
        <v>0.9</v>
      </c>
      <c r="S296" s="113">
        <f t="shared" si="56"/>
        <v>75.9375</v>
      </c>
      <c r="T296" s="113">
        <f t="shared" si="57"/>
        <v>23.14575</v>
      </c>
      <c r="U296" s="38">
        <v>44.5</v>
      </c>
      <c r="V296" s="113">
        <f>+U296*0.3048</f>
        <v>13.563600000000001</v>
      </c>
      <c r="W296" s="38"/>
      <c r="X296" s="172"/>
      <c r="Y296" s="211"/>
      <c r="Z296" s="172"/>
      <c r="AA296" s="3"/>
      <c r="AB296" s="3"/>
      <c r="AC296" s="3"/>
      <c r="AD296" s="3"/>
      <c r="AE296" s="3"/>
      <c r="AF296" s="3"/>
      <c r="AG296" s="3"/>
    </row>
    <row r="297" spans="1:33" x14ac:dyDescent="0.15">
      <c r="A297" s="211">
        <v>1</v>
      </c>
      <c r="B297" s="262">
        <v>13.833333</v>
      </c>
      <c r="C297" s="113">
        <f t="shared" si="49"/>
        <v>191.36110188888898</v>
      </c>
      <c r="D297" s="38">
        <v>1</v>
      </c>
      <c r="E297" s="113">
        <f t="shared" si="50"/>
        <v>601.17812408311477</v>
      </c>
      <c r="F297" s="113">
        <f t="shared" si="51"/>
        <v>183.23909222053339</v>
      </c>
      <c r="G297" s="38">
        <v>3</v>
      </c>
      <c r="H297" s="38">
        <v>4</v>
      </c>
      <c r="I297" s="38">
        <v>2.3332999999999999</v>
      </c>
      <c r="J297" s="113">
        <f t="shared" si="52"/>
        <v>27.999600000000001</v>
      </c>
      <c r="K297" s="113">
        <f t="shared" si="53"/>
        <v>8.53427808</v>
      </c>
      <c r="L297" s="38">
        <v>0.7</v>
      </c>
      <c r="M297" s="113">
        <f t="shared" si="54"/>
        <v>19.599719999999998</v>
      </c>
      <c r="N297" s="113">
        <f t="shared" si="55"/>
        <v>5.9739946559999995</v>
      </c>
      <c r="O297" s="113">
        <v>1</v>
      </c>
      <c r="P297" s="38">
        <v>9.3330000000000002</v>
      </c>
      <c r="Q297" s="38">
        <v>4.1666670000000003</v>
      </c>
      <c r="R297" s="38">
        <v>1</v>
      </c>
      <c r="S297" s="113">
        <f t="shared" si="56"/>
        <v>38.887503111000001</v>
      </c>
      <c r="T297" s="113">
        <f t="shared" si="57"/>
        <v>11.8529109482328</v>
      </c>
      <c r="U297" s="84">
        <f>SUM(U294:U296)</f>
        <v>142.75000299999999</v>
      </c>
      <c r="V297" s="84">
        <f>SUM(V294:V296)</f>
        <v>43.510200914400002</v>
      </c>
      <c r="W297" s="38"/>
      <c r="X297" s="172"/>
      <c r="Y297" s="211"/>
      <c r="Z297" s="172"/>
      <c r="AA297" s="3"/>
      <c r="AB297" s="3"/>
      <c r="AC297" s="3"/>
      <c r="AD297" s="3"/>
      <c r="AE297" s="3"/>
      <c r="AF297" s="3"/>
      <c r="AG297" s="3"/>
    </row>
    <row r="298" spans="1:33" x14ac:dyDescent="0.15">
      <c r="A298" s="211">
        <v>1</v>
      </c>
      <c r="B298" s="262">
        <v>5</v>
      </c>
      <c r="C298" s="113">
        <f t="shared" si="49"/>
        <v>25</v>
      </c>
      <c r="D298" s="38">
        <v>1</v>
      </c>
      <c r="E298" s="113">
        <f t="shared" si="50"/>
        <v>78.539749999999998</v>
      </c>
      <c r="F298" s="113">
        <f t="shared" si="51"/>
        <v>23.9389158</v>
      </c>
      <c r="G298" s="38">
        <v>1</v>
      </c>
      <c r="H298" s="38">
        <v>6.1666699999999999</v>
      </c>
      <c r="I298" s="38">
        <v>2.4166669999999999</v>
      </c>
      <c r="J298" s="113">
        <f t="shared" si="52"/>
        <v>14.90278788889</v>
      </c>
      <c r="K298" s="113">
        <f t="shared" si="53"/>
        <v>4.5423697485336723</v>
      </c>
      <c r="L298" s="38">
        <v>0.7</v>
      </c>
      <c r="M298" s="113">
        <f t="shared" si="54"/>
        <v>10.431951522222999</v>
      </c>
      <c r="N298" s="113">
        <f t="shared" si="55"/>
        <v>3.1796588239735701</v>
      </c>
      <c r="O298" s="113">
        <v>1</v>
      </c>
      <c r="P298" s="38">
        <v>15.166667</v>
      </c>
      <c r="Q298" s="38">
        <v>5.5</v>
      </c>
      <c r="R298" s="38">
        <v>0.9</v>
      </c>
      <c r="S298" s="113">
        <f t="shared" si="56"/>
        <v>75.075001650000004</v>
      </c>
      <c r="T298" s="113">
        <f t="shared" si="57"/>
        <v>22.882860502920003</v>
      </c>
      <c r="U298" s="38"/>
      <c r="V298" s="38"/>
      <c r="W298" s="38"/>
      <c r="X298" s="172"/>
      <c r="Y298" s="211"/>
      <c r="Z298" s="172"/>
      <c r="AA298" s="3"/>
      <c r="AB298" s="3"/>
      <c r="AC298" s="3"/>
      <c r="AD298" s="3"/>
      <c r="AE298" s="3"/>
      <c r="AF298" s="3"/>
      <c r="AG298" s="3"/>
    </row>
    <row r="299" spans="1:33" x14ac:dyDescent="0.15">
      <c r="A299" s="211">
        <v>1</v>
      </c>
      <c r="B299" s="262">
        <v>11.666700000000001</v>
      </c>
      <c r="C299" s="113">
        <f t="shared" si="49"/>
        <v>136.11188889000002</v>
      </c>
      <c r="D299" s="38">
        <v>1</v>
      </c>
      <c r="E299" s="113">
        <f t="shared" si="50"/>
        <v>427.60774901793513</v>
      </c>
      <c r="F299" s="113">
        <f t="shared" si="51"/>
        <v>130.33484190066665</v>
      </c>
      <c r="G299" s="38">
        <v>1</v>
      </c>
      <c r="H299" s="38">
        <v>3.3332999999999999</v>
      </c>
      <c r="I299" s="38">
        <v>6.1666699999999999</v>
      </c>
      <c r="J299" s="113">
        <f t="shared" si="52"/>
        <v>20.555361111</v>
      </c>
      <c r="K299" s="113">
        <f t="shared" si="53"/>
        <v>6.2652740666328004</v>
      </c>
      <c r="L299" s="38">
        <v>1</v>
      </c>
      <c r="M299" s="113">
        <f t="shared" si="54"/>
        <v>20.555361111</v>
      </c>
      <c r="N299" s="113">
        <f t="shared" si="55"/>
        <v>6.2652740666328004</v>
      </c>
      <c r="O299" s="113">
        <v>1</v>
      </c>
      <c r="P299" s="38">
        <v>106.416667</v>
      </c>
      <c r="Q299" s="38">
        <v>8.6666699999999999</v>
      </c>
      <c r="R299" s="38">
        <v>0.9</v>
      </c>
      <c r="S299" s="113">
        <f t="shared" si="56"/>
        <v>830.05032185000107</v>
      </c>
      <c r="T299" s="113">
        <f t="shared" si="57"/>
        <v>252.99933809988033</v>
      </c>
      <c r="U299" s="38"/>
      <c r="V299" s="113" t="s">
        <v>18</v>
      </c>
      <c r="W299" s="38"/>
      <c r="X299" s="172"/>
      <c r="Y299" s="211"/>
      <c r="Z299" s="172"/>
      <c r="AA299" s="3"/>
      <c r="AB299" s="3"/>
      <c r="AC299" s="3"/>
      <c r="AD299" s="3"/>
      <c r="AE299" s="3"/>
      <c r="AF299" s="3"/>
      <c r="AG299" s="3"/>
    </row>
    <row r="300" spans="1:33" x14ac:dyDescent="0.15">
      <c r="A300" s="211">
        <v>1</v>
      </c>
      <c r="B300" s="262">
        <v>1.5</v>
      </c>
      <c r="C300" s="113">
        <f t="shared" si="49"/>
        <v>2.25</v>
      </c>
      <c r="D300" s="38">
        <v>1</v>
      </c>
      <c r="E300" s="113">
        <f t="shared" si="50"/>
        <v>7.0685775</v>
      </c>
      <c r="F300" s="113">
        <f t="shared" si="51"/>
        <v>2.1545024220000002</v>
      </c>
      <c r="G300" s="113">
        <v>1</v>
      </c>
      <c r="H300" s="38">
        <v>3.25</v>
      </c>
      <c r="I300" s="113">
        <v>3.25</v>
      </c>
      <c r="J300" s="113">
        <f t="shared" si="52"/>
        <v>10.5625</v>
      </c>
      <c r="K300" s="113">
        <f t="shared" si="53"/>
        <v>3.2194500000000001</v>
      </c>
      <c r="L300" s="38">
        <v>1</v>
      </c>
      <c r="M300" s="113">
        <f t="shared" si="54"/>
        <v>10.5625</v>
      </c>
      <c r="N300" s="113">
        <f t="shared" si="55"/>
        <v>3.2194500000000001</v>
      </c>
      <c r="O300" s="113">
        <v>1</v>
      </c>
      <c r="P300" s="38">
        <v>11.5</v>
      </c>
      <c r="Q300" s="38">
        <v>11.33334</v>
      </c>
      <c r="R300" s="38">
        <v>0.9</v>
      </c>
      <c r="S300" s="113">
        <f t="shared" si="56"/>
        <v>117.30006899999999</v>
      </c>
      <c r="T300" s="113">
        <f t="shared" si="57"/>
        <v>35.753061031199998</v>
      </c>
      <c r="U300" s="38"/>
      <c r="V300" s="38"/>
      <c r="W300" s="38"/>
      <c r="X300" s="172"/>
      <c r="Y300" s="211"/>
      <c r="Z300" s="172"/>
      <c r="AA300" s="3"/>
      <c r="AB300" s="3"/>
      <c r="AC300" s="3"/>
      <c r="AD300" s="3"/>
      <c r="AE300" s="3"/>
      <c r="AF300" s="3"/>
      <c r="AG300" s="3"/>
    </row>
    <row r="301" spans="1:33" x14ac:dyDescent="0.15">
      <c r="A301" s="211">
        <v>1</v>
      </c>
      <c r="B301" s="262">
        <v>20</v>
      </c>
      <c r="C301" s="113">
        <f t="shared" si="49"/>
        <v>400</v>
      </c>
      <c r="D301" s="38">
        <v>1</v>
      </c>
      <c r="E301" s="113">
        <f t="shared" si="50"/>
        <v>1256.636</v>
      </c>
      <c r="F301" s="113">
        <f t="shared" si="51"/>
        <v>383.0226528</v>
      </c>
      <c r="G301" s="113">
        <v>1</v>
      </c>
      <c r="H301" s="38">
        <v>2.4166669999999999</v>
      </c>
      <c r="I301" s="113">
        <v>4.0833329999999997</v>
      </c>
      <c r="J301" s="113">
        <f t="shared" si="52"/>
        <v>9.8680561111109988</v>
      </c>
      <c r="K301" s="113">
        <f t="shared" si="53"/>
        <v>3.0077835026666326</v>
      </c>
      <c r="L301" s="38">
        <v>0.3</v>
      </c>
      <c r="M301" s="113">
        <f t="shared" si="54"/>
        <v>2.9604168333332996</v>
      </c>
      <c r="N301" s="113">
        <f t="shared" si="55"/>
        <v>0.90233505079998977</v>
      </c>
      <c r="O301" s="38"/>
      <c r="P301" s="38"/>
      <c r="Q301" s="38"/>
      <c r="R301" s="38"/>
      <c r="S301" s="84">
        <f>SUM(S294:S300)</f>
        <v>1171.1601087221111</v>
      </c>
      <c r="T301" s="462">
        <f>SUM(T294:T300)</f>
        <v>356.96960113849946</v>
      </c>
      <c r="U301" s="38"/>
      <c r="V301" s="38"/>
      <c r="W301" s="38"/>
      <c r="X301" s="172"/>
      <c r="Y301" s="211"/>
      <c r="Z301" s="172"/>
      <c r="AA301" s="3"/>
      <c r="AB301" s="3"/>
      <c r="AC301" s="3"/>
      <c r="AD301" s="3"/>
      <c r="AE301" s="3"/>
      <c r="AF301" s="3"/>
      <c r="AG301" s="3"/>
    </row>
    <row r="302" spans="1:33" x14ac:dyDescent="0.15">
      <c r="A302" s="211">
        <v>1</v>
      </c>
      <c r="B302" s="262">
        <v>3</v>
      </c>
      <c r="C302" s="113">
        <f t="shared" si="49"/>
        <v>9</v>
      </c>
      <c r="D302" s="38">
        <v>1</v>
      </c>
      <c r="E302" s="113">
        <f t="shared" si="50"/>
        <v>28.27431</v>
      </c>
      <c r="F302" s="113">
        <f t="shared" si="51"/>
        <v>8.6180096880000008</v>
      </c>
      <c r="G302" s="113" t="s">
        <v>18</v>
      </c>
      <c r="H302" s="38"/>
      <c r="I302" s="38"/>
      <c r="J302" s="84" t="s">
        <v>18</v>
      </c>
      <c r="K302" s="84" t="s">
        <v>18</v>
      </c>
      <c r="L302" s="84" t="s">
        <v>18</v>
      </c>
      <c r="M302" s="84">
        <f>SUM(M294:M301)</f>
        <v>86.297468466566286</v>
      </c>
      <c r="N302" s="84">
        <f t="shared" si="55"/>
        <v>26.303468388609407</v>
      </c>
      <c r="O302" s="38"/>
      <c r="P302" s="38"/>
      <c r="Q302" s="38"/>
      <c r="R302" s="38"/>
      <c r="S302" s="38"/>
      <c r="T302" s="38"/>
      <c r="U302" s="38"/>
      <c r="V302" s="38"/>
      <c r="W302" s="38"/>
      <c r="X302" s="172"/>
      <c r="Y302" s="211"/>
      <c r="Z302" s="172"/>
      <c r="AA302" s="3"/>
      <c r="AB302" s="3"/>
      <c r="AC302" s="3"/>
      <c r="AD302" s="3"/>
      <c r="AE302" s="3"/>
      <c r="AF302" s="3"/>
      <c r="AG302" s="3"/>
    </row>
    <row r="303" spans="1:33" x14ac:dyDescent="0.15">
      <c r="A303" s="211">
        <v>3</v>
      </c>
      <c r="B303" s="262">
        <v>11.75</v>
      </c>
      <c r="C303" s="113">
        <f t="shared" si="49"/>
        <v>138.0625</v>
      </c>
      <c r="D303" s="38">
        <v>1</v>
      </c>
      <c r="E303" s="113">
        <f t="shared" si="50"/>
        <v>1301.2073081249998</v>
      </c>
      <c r="F303" s="113">
        <f t="shared" si="51"/>
        <v>396.60798751649997</v>
      </c>
      <c r="G303" s="38"/>
      <c r="H303" s="38"/>
      <c r="I303" s="113" t="s">
        <v>18</v>
      </c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  <c r="V303" s="38"/>
      <c r="W303" s="38"/>
      <c r="X303" s="172"/>
      <c r="Y303" s="211"/>
      <c r="Z303" s="172"/>
      <c r="AA303" s="3"/>
      <c r="AB303" s="3"/>
      <c r="AC303" s="3"/>
      <c r="AD303" s="3"/>
      <c r="AE303" s="3"/>
      <c r="AF303" s="3"/>
      <c r="AG303" s="3"/>
    </row>
    <row r="304" spans="1:33" x14ac:dyDescent="0.15">
      <c r="A304" s="211">
        <v>4</v>
      </c>
      <c r="B304" s="262">
        <v>2.5</v>
      </c>
      <c r="C304" s="299">
        <f t="shared" si="49"/>
        <v>6.25</v>
      </c>
      <c r="D304" s="38">
        <v>1</v>
      </c>
      <c r="E304" s="113">
        <f t="shared" si="50"/>
        <v>78.539749999999998</v>
      </c>
      <c r="F304" s="299">
        <f t="shared" si="51"/>
        <v>23.9389158</v>
      </c>
      <c r="G304" s="38"/>
      <c r="H304" s="38"/>
      <c r="I304" s="38"/>
      <c r="J304" s="113" t="s">
        <v>18</v>
      </c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  <c r="V304" s="38"/>
      <c r="W304" s="38"/>
      <c r="X304" s="172"/>
      <c r="Y304" s="211"/>
      <c r="Z304" s="172"/>
      <c r="AA304" s="3"/>
      <c r="AB304" s="3"/>
      <c r="AC304" s="3"/>
      <c r="AD304" s="3"/>
      <c r="AE304" s="3"/>
      <c r="AF304" s="3"/>
      <c r="AG304" s="3"/>
    </row>
    <row r="305" spans="1:33" x14ac:dyDescent="0.15">
      <c r="A305" s="211">
        <v>2</v>
      </c>
      <c r="B305" s="262">
        <v>20</v>
      </c>
      <c r="C305" s="299">
        <f t="shared" si="49"/>
        <v>400</v>
      </c>
      <c r="D305" s="38">
        <v>1</v>
      </c>
      <c r="E305" s="299">
        <f t="shared" si="50"/>
        <v>2513.2719999999999</v>
      </c>
      <c r="F305" s="299">
        <f t="shared" si="51"/>
        <v>766.04530560000001</v>
      </c>
      <c r="G305" s="38"/>
      <c r="H305" s="38"/>
      <c r="I305" s="113" t="s">
        <v>18</v>
      </c>
      <c r="J305" s="113" t="s">
        <v>18</v>
      </c>
      <c r="K305" s="38"/>
      <c r="L305" s="113" t="s">
        <v>18</v>
      </c>
      <c r="M305" s="113" t="s">
        <v>18</v>
      </c>
      <c r="N305" s="38"/>
      <c r="O305" s="38"/>
      <c r="P305" s="38"/>
      <c r="Q305" s="113" t="s">
        <v>18</v>
      </c>
      <c r="R305" s="38"/>
      <c r="S305" s="113" t="s">
        <v>18</v>
      </c>
      <c r="T305" s="38"/>
      <c r="U305" s="38"/>
      <c r="V305" s="38"/>
      <c r="W305" s="38"/>
      <c r="X305" s="172"/>
      <c r="Y305" s="211"/>
      <c r="Z305" s="172"/>
      <c r="AA305" s="3"/>
      <c r="AB305" s="3"/>
      <c r="AC305" s="3"/>
      <c r="AD305" s="3"/>
      <c r="AE305" s="3"/>
      <c r="AF305" s="3"/>
      <c r="AG305" s="3"/>
    </row>
    <row r="306" spans="1:33" ht="14" thickBot="1" x14ac:dyDescent="0.2">
      <c r="A306" s="568"/>
      <c r="B306" s="211"/>
      <c r="C306" s="38"/>
      <c r="D306" s="38"/>
      <c r="E306" s="84">
        <f>SUM(E294:E305)</f>
        <v>6923.7831587260498</v>
      </c>
      <c r="F306" s="462">
        <f>SUM(F294:F305)</f>
        <v>2110.3691067796999</v>
      </c>
      <c r="G306" s="38"/>
      <c r="H306" s="38"/>
      <c r="I306" s="38"/>
      <c r="J306" s="113" t="s">
        <v>18</v>
      </c>
      <c r="K306" s="113" t="s">
        <v>18</v>
      </c>
      <c r="L306" s="38"/>
      <c r="M306" s="113" t="s">
        <v>18</v>
      </c>
      <c r="N306" s="113" t="s">
        <v>18</v>
      </c>
      <c r="O306" s="113" t="s">
        <v>18</v>
      </c>
      <c r="P306" s="113" t="s">
        <v>18</v>
      </c>
      <c r="Q306" s="38"/>
      <c r="R306" s="38"/>
      <c r="S306" s="38"/>
      <c r="T306" s="38"/>
      <c r="U306" s="38"/>
      <c r="V306" s="38"/>
      <c r="W306" s="38"/>
      <c r="X306" s="172"/>
      <c r="Y306" s="211"/>
      <c r="Z306" s="172"/>
      <c r="AA306" s="3"/>
      <c r="AB306" s="3"/>
      <c r="AC306" s="3"/>
      <c r="AD306" s="3"/>
      <c r="AE306" s="3"/>
      <c r="AF306" s="3"/>
      <c r="AG306" s="3"/>
    </row>
    <row r="307" spans="1:33" ht="14" thickBot="1" x14ac:dyDescent="0.2">
      <c r="A307" s="632" t="s">
        <v>548</v>
      </c>
      <c r="B307" s="211"/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113" t="s">
        <v>18</v>
      </c>
      <c r="U307" s="38"/>
      <c r="V307" s="113" t="s">
        <v>18</v>
      </c>
      <c r="W307" s="38"/>
      <c r="X307" s="172"/>
      <c r="Y307" s="211"/>
      <c r="Z307" s="172"/>
      <c r="AA307" s="3"/>
      <c r="AB307" s="3"/>
      <c r="AC307" s="3"/>
      <c r="AD307" s="3"/>
      <c r="AE307" s="3"/>
      <c r="AF307" s="3"/>
      <c r="AG307" s="3"/>
    </row>
    <row r="308" spans="1:33" x14ac:dyDescent="0.15">
      <c r="A308" s="624" t="s">
        <v>28</v>
      </c>
      <c r="B308" s="211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113"/>
      <c r="U308" s="38"/>
      <c r="V308" s="113"/>
      <c r="W308" s="38"/>
      <c r="X308" s="172"/>
      <c r="Y308" s="211"/>
      <c r="Z308" s="172"/>
      <c r="AA308" s="3"/>
      <c r="AB308" s="3"/>
      <c r="AC308" s="3"/>
      <c r="AD308" s="3"/>
      <c r="AE308" s="3"/>
      <c r="AF308" s="3"/>
      <c r="AG308" s="3"/>
    </row>
    <row r="309" spans="1:33" x14ac:dyDescent="0.15">
      <c r="A309" s="211">
        <v>1</v>
      </c>
      <c r="B309" s="211">
        <v>8.75</v>
      </c>
      <c r="C309" s="113">
        <f>+B309*B309</f>
        <v>76.5625</v>
      </c>
      <c r="D309" s="38">
        <v>1</v>
      </c>
      <c r="E309" s="113">
        <f>+C309*3.14159*A309*D309</f>
        <v>240.52798437499999</v>
      </c>
      <c r="F309" s="113">
        <f>+E309*0.3048</f>
        <v>73.312929637500005</v>
      </c>
      <c r="G309" s="38">
        <v>1</v>
      </c>
      <c r="H309" s="38">
        <v>6.0833329999999997</v>
      </c>
      <c r="I309" s="113">
        <v>3.5</v>
      </c>
      <c r="J309" s="113">
        <f>+G309*H309*I309</f>
        <v>21.291665500000001</v>
      </c>
      <c r="K309" s="113">
        <f>+J309*0.3048</f>
        <v>6.4896996444000008</v>
      </c>
      <c r="L309" s="38">
        <v>1</v>
      </c>
      <c r="M309" s="113">
        <f>+G309*H309*I309*L309</f>
        <v>21.291665500000001</v>
      </c>
      <c r="N309" s="113">
        <f>+M309*0.3048</f>
        <v>6.4896996444000008</v>
      </c>
      <c r="O309" s="38">
        <v>1</v>
      </c>
      <c r="P309" s="38">
        <v>22.333300000000001</v>
      </c>
      <c r="Q309" s="38">
        <v>6.75</v>
      </c>
      <c r="R309" s="38">
        <v>0.9</v>
      </c>
      <c r="S309" s="113">
        <f>+O309*P309*Q309*R309</f>
        <v>135.67479750000001</v>
      </c>
      <c r="T309" s="113">
        <f>+S309*0.3048</f>
        <v>41.353678278000004</v>
      </c>
      <c r="U309" s="38"/>
      <c r="V309" s="38"/>
      <c r="W309" s="38"/>
      <c r="X309" s="172"/>
      <c r="Y309" s="211"/>
      <c r="Z309" s="172"/>
      <c r="AA309" s="3"/>
      <c r="AB309" s="3"/>
      <c r="AC309" s="3"/>
      <c r="AD309" s="3"/>
      <c r="AE309" s="3"/>
      <c r="AF309" s="3"/>
      <c r="AG309" s="3"/>
    </row>
    <row r="310" spans="1:33" x14ac:dyDescent="0.15">
      <c r="A310" s="211">
        <v>2</v>
      </c>
      <c r="B310" s="211">
        <v>20</v>
      </c>
      <c r="C310" s="113">
        <f>+B310*B310</f>
        <v>400</v>
      </c>
      <c r="D310" s="38">
        <v>1</v>
      </c>
      <c r="E310" s="113">
        <f>+C310*3.14159*A310*D310</f>
        <v>2513.2719999999999</v>
      </c>
      <c r="F310" s="113">
        <f>+E310*0.3048</f>
        <v>766.04530560000001</v>
      </c>
      <c r="G310" s="38">
        <v>2</v>
      </c>
      <c r="H310" s="38">
        <v>6.1666670000000003</v>
      </c>
      <c r="I310" s="38">
        <v>3</v>
      </c>
      <c r="J310" s="113">
        <f>+G310*H310*I310</f>
        <v>37.000002000000002</v>
      </c>
      <c r="K310" s="113">
        <f>+J310*0.3048</f>
        <v>11.2776006096</v>
      </c>
      <c r="L310" s="38">
        <v>0.5</v>
      </c>
      <c r="M310" s="113">
        <f>+G310*H310*I310*L310</f>
        <v>18.500001000000001</v>
      </c>
      <c r="N310" s="113">
        <f>+M310*0.3048</f>
        <v>5.6388003048000002</v>
      </c>
      <c r="O310" s="38">
        <v>1</v>
      </c>
      <c r="P310" s="38">
        <v>17.333300000000001</v>
      </c>
      <c r="Q310" s="38">
        <v>16</v>
      </c>
      <c r="R310" s="38">
        <v>0.9</v>
      </c>
      <c r="S310" s="113">
        <f>+O310*P310*Q310*R310</f>
        <v>249.59952000000001</v>
      </c>
      <c r="T310" s="113">
        <f>+S310*0.3048</f>
        <v>76.077933696000002</v>
      </c>
      <c r="U310" s="38"/>
      <c r="V310" s="38"/>
      <c r="W310" s="38"/>
      <c r="X310" s="172"/>
      <c r="Y310" s="211"/>
      <c r="Z310" s="172"/>
      <c r="AA310" s="3"/>
      <c r="AB310" s="3"/>
      <c r="AC310" s="3"/>
      <c r="AD310" s="3"/>
      <c r="AE310" s="3"/>
      <c r="AF310" s="3"/>
      <c r="AG310" s="3"/>
    </row>
    <row r="311" spans="1:33" x14ac:dyDescent="0.15">
      <c r="A311" s="211">
        <v>1</v>
      </c>
      <c r="B311" s="211">
        <v>21.5</v>
      </c>
      <c r="C311" s="113">
        <f>+B311*B311</f>
        <v>462.25</v>
      </c>
      <c r="D311" s="38">
        <v>1</v>
      </c>
      <c r="E311" s="113">
        <f>+C311*3.14159*A311*D311</f>
        <v>1452.1999774999999</v>
      </c>
      <c r="F311" s="113">
        <f>+E311*0.3048</f>
        <v>442.630553142</v>
      </c>
      <c r="G311" s="38">
        <v>1</v>
      </c>
      <c r="H311" s="38">
        <v>6.25</v>
      </c>
      <c r="I311" s="38">
        <v>3.8333339999999998</v>
      </c>
      <c r="J311" s="113">
        <f>+G311*H311*I311</f>
        <v>23.958337499999999</v>
      </c>
      <c r="K311" s="113">
        <f>+J311*0.3048</f>
        <v>7.3025012700000005</v>
      </c>
      <c r="L311" s="38">
        <v>0.7</v>
      </c>
      <c r="M311" s="113">
        <f>+G311*H311*I311*L311</f>
        <v>16.770836249999999</v>
      </c>
      <c r="N311" s="113">
        <f>+M311*0.3048</f>
        <v>5.1117508889999996</v>
      </c>
      <c r="O311" s="38">
        <v>1</v>
      </c>
      <c r="P311" s="38">
        <v>10.75</v>
      </c>
      <c r="Q311" s="38">
        <v>15.4166667</v>
      </c>
      <c r="R311" s="38">
        <v>0.9</v>
      </c>
      <c r="S311" s="113">
        <f>+O311*P311*Q311*R311</f>
        <v>149.1562503225</v>
      </c>
      <c r="T311" s="113">
        <f>+S311*0.3048</f>
        <v>45.462825098298005</v>
      </c>
      <c r="U311" s="38">
        <v>89.416666699999993</v>
      </c>
      <c r="V311" s="113">
        <f>+U311*0.3048</f>
        <v>27.254200010159998</v>
      </c>
      <c r="W311" s="113" t="s">
        <v>18</v>
      </c>
      <c r="X311" s="172"/>
      <c r="Y311" s="211"/>
      <c r="Z311" s="172"/>
      <c r="AA311" s="3"/>
      <c r="AB311" s="3"/>
      <c r="AC311" s="3"/>
      <c r="AD311" s="3"/>
      <c r="AE311" s="3"/>
      <c r="AF311" s="3"/>
      <c r="AG311" s="3"/>
    </row>
    <row r="312" spans="1:33" x14ac:dyDescent="0.15">
      <c r="A312" s="211">
        <v>1</v>
      </c>
      <c r="B312" s="211">
        <v>17.166667</v>
      </c>
      <c r="C312" s="113">
        <f>+B312*B312</f>
        <v>294.69445588888902</v>
      </c>
      <c r="D312" s="38">
        <v>1</v>
      </c>
      <c r="E312" s="113">
        <f>+C312*3.14159*A312*D312</f>
        <v>925.80915567597481</v>
      </c>
      <c r="F312" s="113">
        <f>+E312*0.3048</f>
        <v>282.18663065003716</v>
      </c>
      <c r="G312" s="38"/>
      <c r="H312" s="38"/>
      <c r="I312" s="38"/>
      <c r="J312" s="38"/>
      <c r="K312" s="38"/>
      <c r="L312" s="38"/>
      <c r="M312" s="84">
        <f>SUM(M309:M311)</f>
        <v>56.562502750000007</v>
      </c>
      <c r="N312" s="84">
        <f>SUM(N309:N311)</f>
        <v>17.240250838200001</v>
      </c>
      <c r="O312" s="38"/>
      <c r="P312" s="38"/>
      <c r="Q312" s="38"/>
      <c r="R312" s="38"/>
      <c r="S312" s="84">
        <f>SUM(S309:S311)</f>
        <v>534.43056782250005</v>
      </c>
      <c r="T312" s="84">
        <f>SUM(T309:T311)</f>
        <v>162.89443707229802</v>
      </c>
      <c r="U312" s="84">
        <f>+U311</f>
        <v>89.416666699999993</v>
      </c>
      <c r="V312" s="84">
        <f>+V311</f>
        <v>27.254200010159998</v>
      </c>
      <c r="W312" s="38"/>
      <c r="X312" s="172"/>
      <c r="Y312" s="211"/>
      <c r="Z312" s="172"/>
      <c r="AA312" s="3"/>
      <c r="AB312" s="3"/>
      <c r="AC312" s="3"/>
      <c r="AD312" s="3"/>
      <c r="AE312" s="3"/>
      <c r="AF312" s="3"/>
      <c r="AG312" s="3"/>
    </row>
    <row r="313" spans="1:33" ht="14" thickBot="1" x14ac:dyDescent="0.2">
      <c r="A313" s="690" t="s">
        <v>18</v>
      </c>
      <c r="B313" s="211"/>
      <c r="C313" s="38"/>
      <c r="D313" s="38"/>
      <c r="E313" s="84">
        <f>SUM(E309:E312)</f>
        <v>5131.8091175509744</v>
      </c>
      <c r="F313" s="84">
        <f>SUM(F309:F312)</f>
        <v>1564.1754190295371</v>
      </c>
      <c r="G313" s="38"/>
      <c r="H313" s="113" t="s">
        <v>18</v>
      </c>
      <c r="I313" s="38"/>
      <c r="J313" s="38"/>
      <c r="K313" s="38"/>
      <c r="L313" s="38"/>
      <c r="M313" s="38"/>
      <c r="N313" s="38"/>
      <c r="O313" s="38"/>
      <c r="P313" s="113" t="s">
        <v>18</v>
      </c>
      <c r="Q313" s="113" t="s">
        <v>18</v>
      </c>
      <c r="R313" s="38"/>
      <c r="S313" s="38"/>
      <c r="T313" s="38"/>
      <c r="U313" s="38"/>
      <c r="V313" s="38"/>
      <c r="W313" s="38"/>
      <c r="X313" s="172"/>
      <c r="Y313" s="211"/>
      <c r="Z313" s="172"/>
      <c r="AA313" s="3"/>
      <c r="AB313" s="3"/>
      <c r="AC313" s="3"/>
      <c r="AD313" s="3"/>
      <c r="AE313" s="3"/>
      <c r="AF313" s="3"/>
      <c r="AG313" s="3"/>
    </row>
    <row r="314" spans="1:33" ht="14" thickBot="1" x14ac:dyDescent="0.2">
      <c r="A314" s="632" t="s">
        <v>550</v>
      </c>
      <c r="B314" s="211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  <c r="V314" s="113" t="s">
        <v>18</v>
      </c>
      <c r="W314" s="38"/>
      <c r="X314" s="172"/>
      <c r="Y314" s="211"/>
      <c r="Z314" s="172"/>
      <c r="AA314" s="3"/>
      <c r="AB314" s="3"/>
      <c r="AC314" s="3"/>
      <c r="AD314" s="3"/>
      <c r="AE314" s="3"/>
      <c r="AF314" s="3"/>
      <c r="AG314" s="3"/>
    </row>
    <row r="315" spans="1:33" x14ac:dyDescent="0.15">
      <c r="A315" s="624" t="s">
        <v>28</v>
      </c>
      <c r="B315" s="211"/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  <c r="V315" s="113"/>
      <c r="W315" s="38"/>
      <c r="X315" s="172"/>
      <c r="Y315" s="211"/>
      <c r="Z315" s="172"/>
      <c r="AA315" s="3"/>
      <c r="AB315" s="3"/>
      <c r="AC315" s="3"/>
      <c r="AD315" s="3"/>
      <c r="AE315" s="3"/>
      <c r="AF315" s="3"/>
      <c r="AG315" s="3"/>
    </row>
    <row r="316" spans="1:33" x14ac:dyDescent="0.15">
      <c r="A316" s="262">
        <v>1</v>
      </c>
      <c r="B316" s="211">
        <v>24.666699999999999</v>
      </c>
      <c r="C316" s="113">
        <f t="shared" ref="C316:C323" si="58">+B316*B316</f>
        <v>608.44608888999994</v>
      </c>
      <c r="D316" s="38">
        <v>1</v>
      </c>
      <c r="E316" s="113">
        <f t="shared" ref="E316:E323" si="59">+C316*3.14159*A316*D316</f>
        <v>1911.4881483959348</v>
      </c>
      <c r="F316" s="113">
        <f t="shared" ref="F316:F323" si="60">+E316*0.3048</f>
        <v>582.62158763108096</v>
      </c>
      <c r="G316" s="38">
        <v>1</v>
      </c>
      <c r="H316" s="38">
        <v>6.25</v>
      </c>
      <c r="I316" s="38">
        <v>6.25</v>
      </c>
      <c r="J316" s="113">
        <f t="shared" ref="J316:J322" si="61">+G316*H316*I316</f>
        <v>39.0625</v>
      </c>
      <c r="K316" s="113">
        <f t="shared" ref="K316:K322" si="62">+J316*0.3048</f>
        <v>11.90625</v>
      </c>
      <c r="L316" s="38">
        <v>0.6</v>
      </c>
      <c r="M316" s="113">
        <f t="shared" ref="M316:M322" si="63">+G316*H316*I316*L316</f>
        <v>23.4375</v>
      </c>
      <c r="N316" s="113">
        <f t="shared" ref="N316:N322" si="64">+M316*0.3048</f>
        <v>7.1437500000000007</v>
      </c>
      <c r="O316" s="38">
        <v>1</v>
      </c>
      <c r="P316" s="38">
        <v>11.25</v>
      </c>
      <c r="Q316" s="38">
        <v>24</v>
      </c>
      <c r="R316" s="38">
        <v>0.6</v>
      </c>
      <c r="S316" s="113">
        <f>+O316*P316*Q316*R316</f>
        <v>162</v>
      </c>
      <c r="T316" s="113">
        <f>+S316*0.3048</f>
        <v>49.377600000000001</v>
      </c>
      <c r="U316" s="38">
        <v>8.4166670000000003</v>
      </c>
      <c r="V316" s="113">
        <f>+U316*0.3048</f>
        <v>2.5654001016000003</v>
      </c>
      <c r="W316" s="38"/>
      <c r="X316" s="172"/>
      <c r="Y316" s="262" t="s">
        <v>552</v>
      </c>
      <c r="Z316" s="172"/>
      <c r="AA316" s="3"/>
      <c r="AB316" s="3"/>
      <c r="AC316" s="3"/>
      <c r="AD316" s="3"/>
      <c r="AE316" s="3"/>
      <c r="AF316" s="3"/>
      <c r="AG316" s="3"/>
    </row>
    <row r="317" spans="1:33" x14ac:dyDescent="0.15">
      <c r="A317" s="262">
        <v>1</v>
      </c>
      <c r="B317" s="211">
        <v>17.4166667</v>
      </c>
      <c r="C317" s="113">
        <f t="shared" si="58"/>
        <v>303.3402789388889</v>
      </c>
      <c r="D317" s="38">
        <v>1</v>
      </c>
      <c r="E317" s="113">
        <f t="shared" si="59"/>
        <v>952.97078691162392</v>
      </c>
      <c r="F317" s="113">
        <f t="shared" si="60"/>
        <v>290.46549585066299</v>
      </c>
      <c r="G317" s="38">
        <v>1</v>
      </c>
      <c r="H317" s="113">
        <v>7.5833300000000001</v>
      </c>
      <c r="I317" s="113">
        <v>3.1666669999999999</v>
      </c>
      <c r="J317" s="113">
        <f t="shared" si="61"/>
        <v>24.01388086111</v>
      </c>
      <c r="K317" s="113">
        <f t="shared" si="62"/>
        <v>7.3194308864663284</v>
      </c>
      <c r="L317" s="38">
        <v>0.8</v>
      </c>
      <c r="M317" s="113">
        <f t="shared" si="63"/>
        <v>19.211104688888</v>
      </c>
      <c r="N317" s="113">
        <f t="shared" si="64"/>
        <v>5.8555447091730626</v>
      </c>
      <c r="O317" s="38">
        <v>1</v>
      </c>
      <c r="P317" s="38">
        <v>19</v>
      </c>
      <c r="Q317" s="38">
        <v>9.6666699999999999</v>
      </c>
      <c r="R317" s="38">
        <v>0.9</v>
      </c>
      <c r="S317" s="113">
        <f>+O317*P317*Q317*R317</f>
        <v>165.30005700000001</v>
      </c>
      <c r="T317" s="113">
        <f>+S317*0.3048</f>
        <v>50.383457373600002</v>
      </c>
      <c r="U317" s="38">
        <v>14.083333</v>
      </c>
      <c r="V317" s="113">
        <f>+U317*0.3048</f>
        <v>4.2925998983999998</v>
      </c>
      <c r="W317" s="113" t="s">
        <v>18</v>
      </c>
      <c r="X317" s="172"/>
      <c r="Y317" s="262" t="s">
        <v>552</v>
      </c>
      <c r="Z317" s="172"/>
      <c r="AA317" s="3"/>
      <c r="AB317" s="3"/>
      <c r="AC317" s="3"/>
      <c r="AD317" s="3"/>
      <c r="AE317" s="3"/>
      <c r="AF317" s="3"/>
      <c r="AG317" s="3"/>
    </row>
    <row r="318" spans="1:33" x14ac:dyDescent="0.15">
      <c r="A318" s="262">
        <v>1</v>
      </c>
      <c r="B318" s="211">
        <v>15.16667</v>
      </c>
      <c r="C318" s="113">
        <f t="shared" si="58"/>
        <v>230.02787888890001</v>
      </c>
      <c r="D318" s="38">
        <v>1</v>
      </c>
      <c r="E318" s="113">
        <f t="shared" si="59"/>
        <v>722.65328403857939</v>
      </c>
      <c r="F318" s="113">
        <f t="shared" si="60"/>
        <v>220.264720974959</v>
      </c>
      <c r="G318" s="113">
        <v>1</v>
      </c>
      <c r="H318" s="38">
        <v>7.5</v>
      </c>
      <c r="I318" s="38">
        <v>4.0833329999999997</v>
      </c>
      <c r="J318" s="113">
        <f t="shared" si="61"/>
        <v>30.624997499999999</v>
      </c>
      <c r="K318" s="113">
        <f t="shared" si="62"/>
        <v>9.3344992379999994</v>
      </c>
      <c r="L318" s="38">
        <v>0.7</v>
      </c>
      <c r="M318" s="113">
        <f t="shared" si="63"/>
        <v>21.437498249999997</v>
      </c>
      <c r="N318" s="113">
        <f t="shared" si="64"/>
        <v>6.5341494665999997</v>
      </c>
      <c r="O318" s="38">
        <v>1</v>
      </c>
      <c r="P318" s="38">
        <v>3.1666699999999999</v>
      </c>
      <c r="Q318" s="38">
        <v>6.9166670000000003</v>
      </c>
      <c r="R318" s="38">
        <v>0.9</v>
      </c>
      <c r="S318" s="113">
        <f>+O318*P318*Q318*R318</f>
        <v>19.712521700001002</v>
      </c>
      <c r="T318" s="113">
        <f>+S318*0.3048</f>
        <v>6.0083766141603059</v>
      </c>
      <c r="U318" s="38">
        <v>35.25</v>
      </c>
      <c r="V318" s="113">
        <f>+U318*0.3048</f>
        <v>10.744200000000001</v>
      </c>
      <c r="W318" s="38"/>
      <c r="X318" s="172"/>
      <c r="Y318" s="211"/>
      <c r="Z318" s="172"/>
      <c r="AA318" s="3"/>
      <c r="AB318" s="3"/>
      <c r="AC318" s="3"/>
      <c r="AD318" s="3"/>
      <c r="AE318" s="3"/>
      <c r="AF318" s="3"/>
      <c r="AG318" s="3"/>
    </row>
    <row r="319" spans="1:33" x14ac:dyDescent="0.15">
      <c r="A319" s="262">
        <v>1</v>
      </c>
      <c r="B319" s="211">
        <v>15.16667</v>
      </c>
      <c r="C319" s="113">
        <f t="shared" si="58"/>
        <v>230.02787888890001</v>
      </c>
      <c r="D319" s="38">
        <v>1</v>
      </c>
      <c r="E319" s="113">
        <f t="shared" si="59"/>
        <v>722.65328403857939</v>
      </c>
      <c r="F319" s="113">
        <f t="shared" si="60"/>
        <v>220.264720974959</v>
      </c>
      <c r="G319" s="113">
        <v>1</v>
      </c>
      <c r="H319" s="38">
        <v>7.5</v>
      </c>
      <c r="I319" s="113">
        <v>4.0833329999999997</v>
      </c>
      <c r="J319" s="113">
        <f t="shared" si="61"/>
        <v>30.624997499999999</v>
      </c>
      <c r="K319" s="113">
        <f t="shared" si="62"/>
        <v>9.3344992379999994</v>
      </c>
      <c r="L319" s="38">
        <v>0.6</v>
      </c>
      <c r="M319" s="113">
        <f t="shared" si="63"/>
        <v>18.3749985</v>
      </c>
      <c r="N319" s="113">
        <f t="shared" si="64"/>
        <v>5.6006995428000002</v>
      </c>
      <c r="O319" s="38">
        <v>1</v>
      </c>
      <c r="P319" s="38">
        <v>109.25</v>
      </c>
      <c r="Q319" s="38">
        <v>8.5</v>
      </c>
      <c r="R319" s="38">
        <v>0.9</v>
      </c>
      <c r="S319" s="113">
        <f>+O319*P319*Q319*R319</f>
        <v>835.76250000000005</v>
      </c>
      <c r="T319" s="113">
        <f>+S319*0.3048</f>
        <v>254.74041000000003</v>
      </c>
      <c r="U319" s="84">
        <f>SUM(U316:U318)</f>
        <v>57.75</v>
      </c>
      <c r="V319" s="84">
        <f>SUM(V316:V318)</f>
        <v>17.602200000000003</v>
      </c>
      <c r="W319" s="38"/>
      <c r="X319" s="172"/>
      <c r="Y319" s="211"/>
      <c r="Z319" s="172"/>
      <c r="AA319" s="3"/>
      <c r="AB319" s="3"/>
      <c r="AC319" s="3"/>
      <c r="AD319" s="3"/>
      <c r="AE319" s="3"/>
      <c r="AF319" s="3"/>
      <c r="AG319" s="3"/>
    </row>
    <row r="320" spans="1:33" x14ac:dyDescent="0.15">
      <c r="A320" s="262">
        <v>1</v>
      </c>
      <c r="B320" s="211">
        <v>15.166667</v>
      </c>
      <c r="C320" s="113">
        <f t="shared" si="58"/>
        <v>230.02778788888901</v>
      </c>
      <c r="D320" s="38">
        <v>1</v>
      </c>
      <c r="E320" s="113">
        <f t="shared" si="59"/>
        <v>722.65299815385481</v>
      </c>
      <c r="F320" s="113">
        <f t="shared" si="60"/>
        <v>220.26463383729495</v>
      </c>
      <c r="G320" s="113">
        <v>1</v>
      </c>
      <c r="H320" s="38">
        <v>4.8333300000000001</v>
      </c>
      <c r="I320" s="113">
        <v>2.6667000000000001</v>
      </c>
      <c r="J320" s="113">
        <f t="shared" si="61"/>
        <v>12.889041111000001</v>
      </c>
      <c r="K320" s="113">
        <f t="shared" si="62"/>
        <v>3.9285797306328005</v>
      </c>
      <c r="L320" s="38">
        <v>0.5</v>
      </c>
      <c r="M320" s="113">
        <f t="shared" si="63"/>
        <v>6.4445205555000005</v>
      </c>
      <c r="N320" s="113">
        <f t="shared" si="64"/>
        <v>1.9642898653164003</v>
      </c>
      <c r="O320" s="113" t="s">
        <v>18</v>
      </c>
      <c r="P320" s="113" t="s">
        <v>18</v>
      </c>
      <c r="Q320" s="113" t="s">
        <v>18</v>
      </c>
      <c r="R320" s="113" t="s">
        <v>18</v>
      </c>
      <c r="S320" s="84">
        <f>SUM(S316:S319)</f>
        <v>1182.7750787000011</v>
      </c>
      <c r="T320" s="462">
        <f>SUM(T316:T319)</f>
        <v>360.50984398776035</v>
      </c>
      <c r="U320" s="38"/>
      <c r="V320" s="38"/>
      <c r="W320" s="38"/>
      <c r="X320" s="172"/>
      <c r="Y320" s="211"/>
      <c r="Z320" s="172"/>
      <c r="AA320" s="3"/>
      <c r="AB320" s="3"/>
      <c r="AC320" s="3"/>
      <c r="AD320" s="3"/>
      <c r="AE320" s="3"/>
      <c r="AF320" s="3"/>
      <c r="AG320" s="3"/>
    </row>
    <row r="321" spans="1:33" x14ac:dyDescent="0.15">
      <c r="A321" s="262">
        <v>1</v>
      </c>
      <c r="B321" s="211">
        <v>22.4166667</v>
      </c>
      <c r="C321" s="113">
        <f t="shared" si="58"/>
        <v>502.50694593888892</v>
      </c>
      <c r="D321" s="38">
        <v>1</v>
      </c>
      <c r="E321" s="113">
        <f t="shared" si="59"/>
        <v>1578.6707962921539</v>
      </c>
      <c r="F321" s="113">
        <f t="shared" si="60"/>
        <v>481.17885870984856</v>
      </c>
      <c r="G321" s="113">
        <v>1</v>
      </c>
      <c r="H321" s="38">
        <v>6.1666999999999996</v>
      </c>
      <c r="I321" s="113">
        <v>3.5833330000000001</v>
      </c>
      <c r="J321" s="113">
        <f t="shared" si="61"/>
        <v>22.097339611100001</v>
      </c>
      <c r="K321" s="113">
        <f t="shared" si="62"/>
        <v>6.7352691134632803</v>
      </c>
      <c r="L321" s="38">
        <v>0.5</v>
      </c>
      <c r="M321" s="113">
        <f t="shared" si="63"/>
        <v>11.04866980555</v>
      </c>
      <c r="N321" s="113">
        <f t="shared" si="64"/>
        <v>3.3676345567316401</v>
      </c>
      <c r="O321" s="38"/>
      <c r="P321" s="38"/>
      <c r="Q321" s="38"/>
      <c r="R321" s="38"/>
      <c r="S321" s="38"/>
      <c r="T321" s="38"/>
      <c r="U321" s="38"/>
      <c r="V321" s="38"/>
      <c r="W321" s="38"/>
      <c r="X321" s="172"/>
      <c r="Y321" s="211"/>
      <c r="Z321" s="172"/>
      <c r="AA321" s="3"/>
      <c r="AB321" s="3"/>
      <c r="AC321" s="3"/>
      <c r="AD321" s="3"/>
      <c r="AE321" s="3"/>
      <c r="AF321" s="3"/>
      <c r="AG321" s="3"/>
    </row>
    <row r="322" spans="1:33" x14ac:dyDescent="0.15">
      <c r="A322" s="262">
        <v>1</v>
      </c>
      <c r="B322" s="211">
        <v>21.5</v>
      </c>
      <c r="C322" s="113">
        <f t="shared" si="58"/>
        <v>462.25</v>
      </c>
      <c r="D322" s="38">
        <v>1</v>
      </c>
      <c r="E322" s="113">
        <f t="shared" si="59"/>
        <v>1452.1999774999999</v>
      </c>
      <c r="F322" s="113">
        <f t="shared" si="60"/>
        <v>442.630553142</v>
      </c>
      <c r="G322" s="113">
        <v>2</v>
      </c>
      <c r="H322" s="38">
        <v>4.1666699999999999</v>
      </c>
      <c r="I322" s="113">
        <v>4.1666699999999999</v>
      </c>
      <c r="J322" s="299">
        <f t="shared" si="61"/>
        <v>34.722277777799995</v>
      </c>
      <c r="K322" s="299">
        <f t="shared" si="62"/>
        <v>10.583350266673438</v>
      </c>
      <c r="L322" s="113">
        <v>1</v>
      </c>
      <c r="M322" s="113">
        <f t="shared" si="63"/>
        <v>34.722277777799995</v>
      </c>
      <c r="N322" s="299">
        <f t="shared" si="64"/>
        <v>10.583350266673438</v>
      </c>
      <c r="O322" s="38"/>
      <c r="P322" s="38"/>
      <c r="Q322" s="113" t="s">
        <v>18</v>
      </c>
      <c r="R322" s="38"/>
      <c r="S322" s="38"/>
      <c r="T322" s="38"/>
      <c r="U322" s="38"/>
      <c r="V322" s="38"/>
      <c r="W322" s="113" t="s">
        <v>18</v>
      </c>
      <c r="X322" s="172"/>
      <c r="Y322" s="211"/>
      <c r="Z322" s="172"/>
      <c r="AA322" s="3"/>
      <c r="AB322" s="3"/>
      <c r="AC322" s="3"/>
      <c r="AD322" s="3"/>
      <c r="AE322" s="3"/>
      <c r="AF322" s="3"/>
      <c r="AG322" s="3"/>
    </row>
    <row r="323" spans="1:33" x14ac:dyDescent="0.15">
      <c r="A323" s="262">
        <v>2</v>
      </c>
      <c r="B323" s="211">
        <v>6.6666999999999996</v>
      </c>
      <c r="C323" s="299">
        <f t="shared" si="58"/>
        <v>44.444888889999994</v>
      </c>
      <c r="D323" s="38">
        <v>1</v>
      </c>
      <c r="E323" s="113">
        <f t="shared" si="59"/>
        <v>279.25523697587016</v>
      </c>
      <c r="F323" s="299">
        <f t="shared" si="60"/>
        <v>85.116996230245235</v>
      </c>
      <c r="G323" s="38"/>
      <c r="H323" s="38"/>
      <c r="I323" s="38"/>
      <c r="J323" s="38"/>
      <c r="K323" s="38"/>
      <c r="L323" s="38"/>
      <c r="M323" s="84">
        <f>SUM(M316:M322)</f>
        <v>134.67656957773801</v>
      </c>
      <c r="N323" s="462">
        <f>SUM(N316:N322)</f>
        <v>41.049418407294539</v>
      </c>
      <c r="O323" s="38"/>
      <c r="P323" s="38"/>
      <c r="Q323" s="38"/>
      <c r="R323" s="113" t="s">
        <v>18</v>
      </c>
      <c r="S323" s="38"/>
      <c r="T323" s="38"/>
      <c r="U323" s="38"/>
      <c r="V323" s="113" t="s">
        <v>18</v>
      </c>
      <c r="W323" s="38"/>
      <c r="X323" s="172"/>
      <c r="Y323" s="211"/>
      <c r="Z323" s="172"/>
      <c r="AA323" s="3"/>
      <c r="AB323" s="3"/>
      <c r="AC323" s="3"/>
      <c r="AD323" s="3"/>
      <c r="AE323" s="3"/>
      <c r="AF323" s="3"/>
      <c r="AG323" s="3"/>
    </row>
    <row r="324" spans="1:33" ht="14" thickBot="1" x14ac:dyDescent="0.2">
      <c r="A324" s="568"/>
      <c r="B324" s="211"/>
      <c r="C324" s="38"/>
      <c r="D324" s="38"/>
      <c r="E324" s="84">
        <f>SUM(E316:E323)</f>
        <v>8342.5445123065965</v>
      </c>
      <c r="F324" s="462">
        <f>SUM(F316:F323)</f>
        <v>2542.8075673510507</v>
      </c>
      <c r="G324" s="38"/>
      <c r="H324" s="38"/>
      <c r="I324" s="38"/>
      <c r="J324" s="38"/>
      <c r="K324" s="38"/>
      <c r="L324" s="38"/>
      <c r="M324" s="38"/>
      <c r="N324" s="38"/>
      <c r="O324" s="38"/>
      <c r="P324" s="38"/>
      <c r="Q324" s="113" t="s">
        <v>18</v>
      </c>
      <c r="R324" s="38"/>
      <c r="S324" s="113" t="s">
        <v>18</v>
      </c>
      <c r="T324" s="113" t="s">
        <v>18</v>
      </c>
      <c r="U324" s="38"/>
      <c r="V324" s="38"/>
      <c r="W324" s="38"/>
      <c r="X324" s="172"/>
      <c r="Y324" s="211"/>
      <c r="Z324" s="172"/>
      <c r="AA324" s="3"/>
      <c r="AB324" s="3"/>
      <c r="AC324" s="3"/>
      <c r="AD324" s="3"/>
      <c r="AE324" s="3"/>
      <c r="AF324" s="3"/>
      <c r="AG324" s="3"/>
    </row>
    <row r="325" spans="1:33" ht="14" thickBot="1" x14ac:dyDescent="0.2">
      <c r="A325" s="632" t="s">
        <v>554</v>
      </c>
      <c r="B325" s="211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  <c r="V325" s="38"/>
      <c r="W325" s="38"/>
      <c r="X325" s="172"/>
      <c r="Y325" s="211"/>
      <c r="Z325" s="172"/>
      <c r="AA325" s="3"/>
      <c r="AB325" s="3"/>
      <c r="AC325" s="3"/>
      <c r="AD325" s="3"/>
      <c r="AE325" s="3"/>
      <c r="AF325" s="3"/>
      <c r="AG325" s="3"/>
    </row>
    <row r="326" spans="1:33" x14ac:dyDescent="0.15">
      <c r="A326" s="689" t="s">
        <v>28</v>
      </c>
      <c r="B326" s="211"/>
      <c r="C326" s="38"/>
      <c r="D326" s="38"/>
      <c r="E326" s="38"/>
      <c r="F326" s="38"/>
      <c r="G326" s="38"/>
      <c r="H326" s="38"/>
      <c r="I326" s="113" t="s">
        <v>18</v>
      </c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  <c r="V326" s="38"/>
      <c r="W326" s="38"/>
      <c r="X326" s="172"/>
      <c r="Y326" s="211"/>
      <c r="Z326" s="172"/>
      <c r="AA326" s="3"/>
      <c r="AB326" s="3"/>
      <c r="AC326" s="3"/>
      <c r="AD326" s="3"/>
      <c r="AE326" s="3"/>
      <c r="AF326" s="3"/>
      <c r="AG326" s="3"/>
    </row>
    <row r="327" spans="1:33" x14ac:dyDescent="0.15">
      <c r="A327" s="211">
        <v>1</v>
      </c>
      <c r="B327" s="211">
        <v>17.83333</v>
      </c>
      <c r="C327" s="113">
        <f t="shared" ref="C327:C338" si="65">+B327*B327</f>
        <v>318.02765888890002</v>
      </c>
      <c r="D327" s="38">
        <v>1</v>
      </c>
      <c r="E327" s="113">
        <f t="shared" ref="E327:E338" si="66">+C327*3.14159*A327*D327</f>
        <v>999.11251288877941</v>
      </c>
      <c r="F327" s="113">
        <f t="shared" ref="F327:F338" si="67">+E327*0.3048</f>
        <v>304.52949392849996</v>
      </c>
      <c r="G327" s="38">
        <v>1</v>
      </c>
      <c r="H327" s="38">
        <v>2.8333300000000001</v>
      </c>
      <c r="I327" s="38">
        <v>4.0833333999999999</v>
      </c>
      <c r="J327" s="113">
        <f t="shared" ref="J327:J337" si="68">+G327*H327*I327</f>
        <v>11.569431022222</v>
      </c>
      <c r="K327" s="113">
        <f t="shared" ref="K327:K337" si="69">+J327*0.3048</f>
        <v>3.5263625755732657</v>
      </c>
      <c r="L327" s="38">
        <v>0.5</v>
      </c>
      <c r="M327" s="113">
        <f t="shared" ref="M327:M337" si="70">+G327*H327*I327*L327</f>
        <v>5.784715511111</v>
      </c>
      <c r="N327" s="113">
        <f t="shared" ref="N327:N337" si="71">+M327*0.3048</f>
        <v>1.7631812877866329</v>
      </c>
      <c r="O327" s="38">
        <v>1</v>
      </c>
      <c r="P327" s="38">
        <v>8.6666699999999999</v>
      </c>
      <c r="Q327" s="38">
        <v>64.5</v>
      </c>
      <c r="R327" s="38">
        <v>0.8</v>
      </c>
      <c r="S327" s="113">
        <f>+O327*P327*Q327*R327</f>
        <v>447.20017200000007</v>
      </c>
      <c r="T327" s="113">
        <f>+S327*0.3048</f>
        <v>136.30661242560004</v>
      </c>
      <c r="U327" s="38">
        <v>34.583333400000001</v>
      </c>
      <c r="V327" s="113">
        <f>+U327*0.3048</f>
        <v>10.54100002032</v>
      </c>
      <c r="W327" s="38"/>
      <c r="X327" s="172"/>
      <c r="Y327" s="211"/>
      <c r="Z327" s="172"/>
      <c r="AA327" s="3"/>
      <c r="AB327" s="3"/>
      <c r="AC327" s="3"/>
      <c r="AD327" s="3"/>
      <c r="AE327" s="3"/>
      <c r="AF327" s="3"/>
      <c r="AG327" s="3"/>
    </row>
    <row r="328" spans="1:33" x14ac:dyDescent="0.15">
      <c r="A328" s="211">
        <v>1</v>
      </c>
      <c r="B328" s="211">
        <v>16.166667</v>
      </c>
      <c r="C328" s="113">
        <f t="shared" si="65"/>
        <v>261.36112188888899</v>
      </c>
      <c r="D328" s="38">
        <v>1</v>
      </c>
      <c r="E328" s="113">
        <f t="shared" si="66"/>
        <v>821.08948691491469</v>
      </c>
      <c r="F328" s="113">
        <f t="shared" si="67"/>
        <v>250.26807561166601</v>
      </c>
      <c r="G328" s="38">
        <v>1</v>
      </c>
      <c r="H328" s="38">
        <v>4.1666670000000003</v>
      </c>
      <c r="I328" s="38">
        <v>6.1666670000000003</v>
      </c>
      <c r="J328" s="113">
        <f t="shared" si="68"/>
        <v>25.694447888889002</v>
      </c>
      <c r="K328" s="113">
        <f t="shared" si="69"/>
        <v>7.8316677165333681</v>
      </c>
      <c r="L328" s="38">
        <v>0.7</v>
      </c>
      <c r="M328" s="113">
        <f t="shared" si="70"/>
        <v>17.986113522222301</v>
      </c>
      <c r="N328" s="113">
        <f t="shared" si="71"/>
        <v>5.4821674015733572</v>
      </c>
      <c r="O328" s="38">
        <v>1</v>
      </c>
      <c r="P328" s="38">
        <v>14</v>
      </c>
      <c r="Q328" s="38">
        <v>8</v>
      </c>
      <c r="R328" s="38">
        <v>0.8</v>
      </c>
      <c r="S328" s="113">
        <f>+O328*P328*Q328*R328</f>
        <v>89.600000000000009</v>
      </c>
      <c r="T328" s="113">
        <f>+S328*0.3048</f>
        <v>27.310080000000003</v>
      </c>
      <c r="U328" s="38">
        <v>10.66667</v>
      </c>
      <c r="V328" s="113">
        <f>+U328*0.3048</f>
        <v>3.251201016</v>
      </c>
      <c r="W328" s="38"/>
      <c r="X328" s="172"/>
      <c r="Y328" s="262" t="s">
        <v>552</v>
      </c>
      <c r="Z328" s="172"/>
      <c r="AA328" s="3"/>
      <c r="AB328" s="3"/>
      <c r="AC328" s="3"/>
      <c r="AD328" s="3"/>
      <c r="AE328" s="3"/>
      <c r="AF328" s="3"/>
      <c r="AG328" s="3"/>
    </row>
    <row r="329" spans="1:33" x14ac:dyDescent="0.15">
      <c r="A329" s="211">
        <v>1</v>
      </c>
      <c r="B329" s="262">
        <v>21.5</v>
      </c>
      <c r="C329" s="113">
        <f t="shared" si="65"/>
        <v>462.25</v>
      </c>
      <c r="D329" s="38">
        <v>1</v>
      </c>
      <c r="E329" s="113">
        <f t="shared" si="66"/>
        <v>1452.1999774999999</v>
      </c>
      <c r="F329" s="113">
        <f t="shared" si="67"/>
        <v>442.630553142</v>
      </c>
      <c r="G329" s="38">
        <v>1</v>
      </c>
      <c r="H329" s="38">
        <v>4.0833329999999997</v>
      </c>
      <c r="I329" s="38">
        <v>6.6666999999999996</v>
      </c>
      <c r="J329" s="113">
        <f t="shared" si="68"/>
        <v>27.222356111099995</v>
      </c>
      <c r="K329" s="113">
        <f t="shared" si="69"/>
        <v>8.2973741426632781</v>
      </c>
      <c r="L329" s="38">
        <v>0.4</v>
      </c>
      <c r="M329" s="113">
        <f t="shared" si="70"/>
        <v>10.888942444439998</v>
      </c>
      <c r="N329" s="113">
        <f t="shared" si="71"/>
        <v>3.3189496570653114</v>
      </c>
      <c r="O329" s="38">
        <v>1</v>
      </c>
      <c r="P329" s="38">
        <v>4.5833329999999997</v>
      </c>
      <c r="Q329" s="38">
        <v>9.5833334000000008</v>
      </c>
      <c r="R329" s="38">
        <v>0.9</v>
      </c>
      <c r="S329" s="113">
        <f>+O329*P329*Q329*R329</f>
        <v>39.531247399999984</v>
      </c>
      <c r="T329" s="113">
        <f>+S329*0.3048</f>
        <v>12.049124207519995</v>
      </c>
      <c r="U329" s="38">
        <v>9.5833334000000008</v>
      </c>
      <c r="V329" s="113">
        <f>+U329*0.3048</f>
        <v>2.9210000203200002</v>
      </c>
      <c r="W329" s="38"/>
      <c r="X329" s="172"/>
      <c r="Y329" s="262" t="s">
        <v>552</v>
      </c>
      <c r="Z329" s="172"/>
      <c r="AA329" s="3"/>
      <c r="AB329" s="3"/>
      <c r="AC329" s="3"/>
      <c r="AD329" s="3"/>
      <c r="AE329" s="3"/>
      <c r="AF329" s="3"/>
      <c r="AG329" s="3"/>
    </row>
    <row r="330" spans="1:33" x14ac:dyDescent="0.15">
      <c r="A330" s="211">
        <v>2</v>
      </c>
      <c r="B330" s="262">
        <v>16.33334</v>
      </c>
      <c r="C330" s="113">
        <f t="shared" si="65"/>
        <v>266.7779955556</v>
      </c>
      <c r="D330" s="38">
        <v>1</v>
      </c>
      <c r="E330" s="113">
        <f t="shared" si="66"/>
        <v>1676.2141661150347</v>
      </c>
      <c r="F330" s="113">
        <f t="shared" si="67"/>
        <v>510.91007783186262</v>
      </c>
      <c r="G330" s="38">
        <v>2</v>
      </c>
      <c r="H330" s="113">
        <v>3.25</v>
      </c>
      <c r="I330" s="113">
        <v>3.25</v>
      </c>
      <c r="J330" s="113">
        <f t="shared" si="68"/>
        <v>21.125</v>
      </c>
      <c r="K330" s="113">
        <f t="shared" si="69"/>
        <v>6.4389000000000003</v>
      </c>
      <c r="L330" s="38">
        <v>0.3</v>
      </c>
      <c r="M330" s="113">
        <f t="shared" si="70"/>
        <v>6.3374999999999995</v>
      </c>
      <c r="N330" s="113">
        <f t="shared" si="71"/>
        <v>1.93167</v>
      </c>
      <c r="O330" s="38">
        <v>1</v>
      </c>
      <c r="P330" s="113">
        <v>6</v>
      </c>
      <c r="Q330" s="113">
        <v>8.5833340000000007</v>
      </c>
      <c r="R330" s="113">
        <v>0.8</v>
      </c>
      <c r="S330" s="113">
        <f>+O330*P330*Q330*R330</f>
        <v>41.200003200000005</v>
      </c>
      <c r="T330" s="113">
        <f>+S330*0.3048</f>
        <v>12.557760975360003</v>
      </c>
      <c r="U330" s="84">
        <f>SUM(U327:U329)</f>
        <v>54.833336799999998</v>
      </c>
      <c r="V330" s="84">
        <f>SUM(V327:V329)</f>
        <v>16.713201056639999</v>
      </c>
      <c r="W330" s="38"/>
      <c r="X330" s="172"/>
      <c r="Y330" s="211"/>
      <c r="Z330" s="172"/>
      <c r="AA330" s="3"/>
      <c r="AB330" s="3"/>
      <c r="AC330" s="3"/>
      <c r="AD330" s="3"/>
      <c r="AE330" s="3"/>
      <c r="AF330" s="3"/>
      <c r="AG330" s="3"/>
    </row>
    <row r="331" spans="1:33" x14ac:dyDescent="0.15">
      <c r="A331" s="211">
        <v>1</v>
      </c>
      <c r="B331" s="262">
        <v>17</v>
      </c>
      <c r="C331" s="113">
        <f t="shared" si="65"/>
        <v>289</v>
      </c>
      <c r="D331" s="38">
        <v>1</v>
      </c>
      <c r="E331" s="113">
        <f t="shared" si="66"/>
        <v>907.91950999999995</v>
      </c>
      <c r="F331" s="113">
        <f t="shared" si="67"/>
        <v>276.733866648</v>
      </c>
      <c r="G331" s="113">
        <v>1</v>
      </c>
      <c r="H331" s="113">
        <v>4.0833329999999997</v>
      </c>
      <c r="I331" s="113">
        <v>6.4166667999999998</v>
      </c>
      <c r="J331" s="113">
        <f t="shared" si="68"/>
        <v>26.201387294444398</v>
      </c>
      <c r="K331" s="113">
        <f t="shared" si="69"/>
        <v>7.9861828473466527</v>
      </c>
      <c r="L331" s="38">
        <v>1</v>
      </c>
      <c r="M331" s="113">
        <f t="shared" si="70"/>
        <v>26.201387294444398</v>
      </c>
      <c r="N331" s="113">
        <f t="shared" si="71"/>
        <v>7.9861828473466527</v>
      </c>
      <c r="O331" s="38">
        <v>1</v>
      </c>
      <c r="P331" s="113">
        <v>9.3333340000000007</v>
      </c>
      <c r="Q331" s="113">
        <v>9.6666699999999999</v>
      </c>
      <c r="R331" s="113">
        <v>0.9</v>
      </c>
      <c r="S331" s="113">
        <f>+O331*P331*Q331*R331</f>
        <v>81.200033800002018</v>
      </c>
      <c r="T331" s="113">
        <f>+S331*0.3048</f>
        <v>24.749770302240616</v>
      </c>
      <c r="U331" s="38"/>
      <c r="V331" s="38"/>
      <c r="W331" s="38"/>
      <c r="X331" s="172"/>
      <c r="Y331" s="211"/>
      <c r="Z331" s="172"/>
      <c r="AA331" s="3"/>
      <c r="AB331" s="3"/>
      <c r="AC331" s="3"/>
      <c r="AD331" s="3"/>
      <c r="AE331" s="3"/>
      <c r="AF331" s="3"/>
      <c r="AG331" s="3"/>
    </row>
    <row r="332" spans="1:33" x14ac:dyDescent="0.15">
      <c r="A332" s="211">
        <v>1</v>
      </c>
      <c r="B332" s="262">
        <v>9.5</v>
      </c>
      <c r="C332" s="113">
        <f t="shared" si="65"/>
        <v>90.25</v>
      </c>
      <c r="D332" s="38">
        <v>1</v>
      </c>
      <c r="E332" s="113">
        <f t="shared" si="66"/>
        <v>283.52849750000001</v>
      </c>
      <c r="F332" s="113">
        <f t="shared" si="67"/>
        <v>86.419486038000002</v>
      </c>
      <c r="G332" s="113">
        <v>1</v>
      </c>
      <c r="H332" s="113">
        <v>13.583334000000001</v>
      </c>
      <c r="I332" s="113">
        <v>8.8333340000000007</v>
      </c>
      <c r="J332" s="113">
        <f t="shared" si="68"/>
        <v>119.98612605555601</v>
      </c>
      <c r="K332" s="113">
        <f t="shared" si="69"/>
        <v>36.571771221733478</v>
      </c>
      <c r="L332" s="38">
        <v>0.6</v>
      </c>
      <c r="M332" s="113">
        <f t="shared" si="70"/>
        <v>71.9916756333336</v>
      </c>
      <c r="N332" s="113">
        <f t="shared" si="71"/>
        <v>21.943062733040083</v>
      </c>
      <c r="O332" s="38"/>
      <c r="P332" s="38"/>
      <c r="Q332" s="38"/>
      <c r="R332" s="38"/>
      <c r="S332" s="84">
        <f>SUM(S327:S331)</f>
        <v>698.73145640000212</v>
      </c>
      <c r="T332" s="462">
        <f>SUM(T327:T331)</f>
        <v>212.97334791072063</v>
      </c>
      <c r="U332" s="38"/>
      <c r="V332" s="38"/>
      <c r="W332" s="38"/>
      <c r="X332" s="172"/>
      <c r="Y332" s="211"/>
      <c r="Z332" s="172"/>
      <c r="AA332" s="3"/>
      <c r="AB332" s="3"/>
      <c r="AC332" s="3"/>
      <c r="AD332" s="3"/>
      <c r="AE332" s="3"/>
      <c r="AF332" s="3"/>
      <c r="AG332" s="3"/>
    </row>
    <row r="333" spans="1:33" x14ac:dyDescent="0.15">
      <c r="A333" s="211">
        <v>1</v>
      </c>
      <c r="B333" s="262">
        <v>4.5</v>
      </c>
      <c r="C333" s="113">
        <f t="shared" si="65"/>
        <v>20.25</v>
      </c>
      <c r="D333" s="38">
        <v>1</v>
      </c>
      <c r="E333" s="113">
        <f t="shared" si="66"/>
        <v>63.617197499999996</v>
      </c>
      <c r="F333" s="113">
        <f t="shared" si="67"/>
        <v>19.390521797999998</v>
      </c>
      <c r="G333" s="113">
        <v>1</v>
      </c>
      <c r="H333" s="113">
        <v>4.8333349999999999</v>
      </c>
      <c r="I333" s="113">
        <v>2.6667000000000001</v>
      </c>
      <c r="J333" s="113">
        <f t="shared" si="68"/>
        <v>12.889054444500001</v>
      </c>
      <c r="K333" s="113">
        <f t="shared" si="69"/>
        <v>3.9285837946836004</v>
      </c>
      <c r="L333" s="38">
        <v>1</v>
      </c>
      <c r="M333" s="113">
        <f t="shared" si="70"/>
        <v>12.889054444500001</v>
      </c>
      <c r="N333" s="113">
        <f t="shared" si="71"/>
        <v>3.9285837946836004</v>
      </c>
      <c r="O333" s="38"/>
      <c r="P333" s="38"/>
      <c r="Q333" s="38"/>
      <c r="R333" s="38"/>
      <c r="S333" s="38"/>
      <c r="T333" s="38"/>
      <c r="U333" s="38"/>
      <c r="V333" s="38"/>
      <c r="W333" s="38"/>
      <c r="X333" s="172"/>
      <c r="Y333" s="211"/>
      <c r="Z333" s="172"/>
      <c r="AA333" s="3"/>
      <c r="AB333" s="3"/>
      <c r="AC333" s="3"/>
      <c r="AD333" s="3"/>
      <c r="AE333" s="3"/>
      <c r="AF333" s="3"/>
      <c r="AG333" s="3"/>
    </row>
    <row r="334" spans="1:33" x14ac:dyDescent="0.15">
      <c r="A334" s="211">
        <v>1</v>
      </c>
      <c r="B334" s="262">
        <v>22.666699999999999</v>
      </c>
      <c r="C334" s="113">
        <f t="shared" si="65"/>
        <v>513.77928888999998</v>
      </c>
      <c r="D334" s="38">
        <v>1</v>
      </c>
      <c r="E334" s="113">
        <f t="shared" si="66"/>
        <v>1614.083876183935</v>
      </c>
      <c r="F334" s="113">
        <f t="shared" si="67"/>
        <v>491.9727654608634</v>
      </c>
      <c r="G334" s="113">
        <v>1</v>
      </c>
      <c r="H334" s="113">
        <v>4.3334000000000001</v>
      </c>
      <c r="I334" s="113">
        <v>6.6666699999999999</v>
      </c>
      <c r="J334" s="113">
        <f t="shared" si="68"/>
        <v>28.889347778000001</v>
      </c>
      <c r="K334" s="113">
        <f t="shared" si="69"/>
        <v>8.8054732027344009</v>
      </c>
      <c r="L334" s="38">
        <v>0.7</v>
      </c>
      <c r="M334" s="113">
        <f t="shared" si="70"/>
        <v>20.222543444599999</v>
      </c>
      <c r="N334" s="113">
        <f t="shared" si="71"/>
        <v>6.1638312419140799</v>
      </c>
      <c r="O334" s="38"/>
      <c r="P334" s="38"/>
      <c r="Q334" s="38"/>
      <c r="R334" s="38"/>
      <c r="S334" s="38"/>
      <c r="T334" s="38"/>
      <c r="U334" s="38"/>
      <c r="V334" s="38"/>
      <c r="W334" s="38"/>
      <c r="X334" s="172"/>
      <c r="Y334" s="211"/>
      <c r="Z334" s="172"/>
      <c r="AA334" s="3"/>
      <c r="AB334" s="3"/>
      <c r="AC334" s="3"/>
      <c r="AD334" s="3"/>
      <c r="AE334" s="3"/>
      <c r="AF334" s="3"/>
      <c r="AG334" s="3"/>
    </row>
    <row r="335" spans="1:33" x14ac:dyDescent="0.15">
      <c r="A335" s="211">
        <v>1</v>
      </c>
      <c r="B335" s="262">
        <v>4.9166667000000004</v>
      </c>
      <c r="C335" s="113">
        <f t="shared" si="65"/>
        <v>24.173611438888894</v>
      </c>
      <c r="D335" s="38">
        <v>1</v>
      </c>
      <c r="E335" s="113">
        <f t="shared" si="66"/>
        <v>75.943575960298958</v>
      </c>
      <c r="F335" s="113">
        <f t="shared" si="67"/>
        <v>23.147601952699123</v>
      </c>
      <c r="G335" s="113">
        <v>1</v>
      </c>
      <c r="H335" s="113">
        <v>4.1666670000000003</v>
      </c>
      <c r="I335" s="113">
        <v>2.5</v>
      </c>
      <c r="J335" s="113">
        <f t="shared" si="68"/>
        <v>10.416667500000001</v>
      </c>
      <c r="K335" s="113">
        <f t="shared" si="69"/>
        <v>3.1750002540000004</v>
      </c>
      <c r="L335" s="38">
        <v>0.6</v>
      </c>
      <c r="M335" s="113">
        <f t="shared" si="70"/>
        <v>6.2500005000000005</v>
      </c>
      <c r="N335" s="113">
        <f t="shared" si="71"/>
        <v>1.9050001524000002</v>
      </c>
      <c r="O335" s="38"/>
      <c r="P335" s="38"/>
      <c r="Q335" s="38"/>
      <c r="R335" s="38"/>
      <c r="S335" s="38"/>
      <c r="T335" s="38"/>
      <c r="U335" s="38"/>
      <c r="V335" s="38"/>
      <c r="W335" s="38"/>
      <c r="X335" s="172"/>
      <c r="Y335" s="211"/>
      <c r="Z335" s="172"/>
      <c r="AA335" s="3"/>
      <c r="AB335" s="3"/>
      <c r="AC335" s="3"/>
      <c r="AD335" s="3"/>
      <c r="AE335" s="3"/>
      <c r="AF335" s="3"/>
      <c r="AG335" s="3"/>
    </row>
    <row r="336" spans="1:33" x14ac:dyDescent="0.15">
      <c r="A336" s="211">
        <v>1</v>
      </c>
      <c r="B336" s="262">
        <v>11.416667</v>
      </c>
      <c r="C336" s="113">
        <f t="shared" si="65"/>
        <v>130.34028538888901</v>
      </c>
      <c r="D336" s="38">
        <v>1</v>
      </c>
      <c r="E336" s="113">
        <f t="shared" si="66"/>
        <v>409.47573717487984</v>
      </c>
      <c r="F336" s="113">
        <f t="shared" si="67"/>
        <v>124.80820469090338</v>
      </c>
      <c r="G336" s="113">
        <v>1</v>
      </c>
      <c r="H336" s="113">
        <v>3.0833333999999999</v>
      </c>
      <c r="I336" s="113">
        <v>5.3333399999999997</v>
      </c>
      <c r="J336" s="113">
        <f t="shared" si="68"/>
        <v>16.444465355555998</v>
      </c>
      <c r="K336" s="113">
        <f t="shared" si="69"/>
        <v>5.0122730403734685</v>
      </c>
      <c r="L336" s="38">
        <v>0.7</v>
      </c>
      <c r="M336" s="113">
        <f t="shared" si="70"/>
        <v>11.511125748889198</v>
      </c>
      <c r="N336" s="113">
        <f t="shared" si="71"/>
        <v>3.5085911282614277</v>
      </c>
      <c r="O336" s="38"/>
      <c r="P336" s="113" t="s">
        <v>18</v>
      </c>
      <c r="Q336" s="113" t="s">
        <v>18</v>
      </c>
      <c r="R336" s="38"/>
      <c r="S336" s="38"/>
      <c r="T336" s="38"/>
      <c r="U336" s="38"/>
      <c r="V336" s="38"/>
      <c r="W336" s="38"/>
      <c r="X336" s="172"/>
      <c r="Y336" s="211"/>
      <c r="Z336" s="172"/>
      <c r="AA336" s="3"/>
      <c r="AB336" s="3"/>
      <c r="AC336" s="3"/>
      <c r="AD336" s="3"/>
      <c r="AE336" s="3"/>
      <c r="AF336" s="3"/>
      <c r="AG336" s="3"/>
    </row>
    <row r="337" spans="1:33" x14ac:dyDescent="0.15">
      <c r="A337" s="211">
        <v>1</v>
      </c>
      <c r="B337" s="262">
        <v>20.58333</v>
      </c>
      <c r="C337" s="113">
        <f t="shared" si="65"/>
        <v>423.67347388889999</v>
      </c>
      <c r="D337" s="38">
        <v>1</v>
      </c>
      <c r="E337" s="113">
        <f t="shared" si="66"/>
        <v>1331.0083488346293</v>
      </c>
      <c r="F337" s="113">
        <f t="shared" si="67"/>
        <v>405.69134472479504</v>
      </c>
      <c r="G337" s="113">
        <v>1</v>
      </c>
      <c r="H337" s="113">
        <v>17.25</v>
      </c>
      <c r="I337" s="113">
        <v>9.8333334000000008</v>
      </c>
      <c r="J337" s="113">
        <f t="shared" si="68"/>
        <v>169.62500115</v>
      </c>
      <c r="K337" s="113">
        <f t="shared" si="69"/>
        <v>51.701700350520007</v>
      </c>
      <c r="L337" s="38">
        <v>0.9</v>
      </c>
      <c r="M337" s="113">
        <f t="shared" si="70"/>
        <v>152.66250103500002</v>
      </c>
      <c r="N337" s="113">
        <f t="shared" si="71"/>
        <v>46.531530315468011</v>
      </c>
      <c r="O337" s="38"/>
      <c r="P337" s="38"/>
      <c r="Q337" s="38"/>
      <c r="R337" s="113" t="s">
        <v>18</v>
      </c>
      <c r="S337" s="113" t="s">
        <v>18</v>
      </c>
      <c r="T337" s="113" t="s">
        <v>18</v>
      </c>
      <c r="U337" s="113" t="s">
        <v>18</v>
      </c>
      <c r="V337" s="38"/>
      <c r="W337" s="38"/>
      <c r="X337" s="172"/>
      <c r="Y337" s="211"/>
      <c r="Z337" s="172"/>
      <c r="AA337" s="3"/>
      <c r="AB337" s="3"/>
      <c r="AC337" s="3"/>
      <c r="AD337" s="3"/>
      <c r="AE337" s="3"/>
      <c r="AF337" s="3"/>
      <c r="AG337" s="3"/>
    </row>
    <row r="338" spans="1:33" x14ac:dyDescent="0.15">
      <c r="A338" s="211">
        <v>1</v>
      </c>
      <c r="B338" s="262">
        <v>11.25</v>
      </c>
      <c r="C338" s="113">
        <f t="shared" si="65"/>
        <v>126.5625</v>
      </c>
      <c r="D338" s="38">
        <v>1</v>
      </c>
      <c r="E338" s="113">
        <f t="shared" si="66"/>
        <v>397.60748437500001</v>
      </c>
      <c r="F338" s="113">
        <f t="shared" si="67"/>
        <v>121.19076123750001</v>
      </c>
      <c r="G338" s="38"/>
      <c r="H338" s="38"/>
      <c r="I338" s="113" t="s">
        <v>18</v>
      </c>
      <c r="J338" s="38"/>
      <c r="K338" s="38"/>
      <c r="L338" s="38"/>
      <c r="M338" s="84">
        <f>SUM(M327:M337)</f>
        <v>342.72555957854053</v>
      </c>
      <c r="N338" s="462">
        <f>SUM(N327:N337)</f>
        <v>104.46275055953916</v>
      </c>
      <c r="O338" s="38"/>
      <c r="P338" s="38"/>
      <c r="Q338" s="38"/>
      <c r="R338" s="38"/>
      <c r="S338" s="113" t="s">
        <v>18</v>
      </c>
      <c r="T338" s="38"/>
      <c r="U338" s="38"/>
      <c r="V338" s="38"/>
      <c r="W338" s="38"/>
      <c r="X338" s="172"/>
      <c r="Y338" s="211"/>
      <c r="Z338" s="172"/>
      <c r="AA338" s="3"/>
      <c r="AB338" s="3"/>
      <c r="AC338" s="3"/>
      <c r="AD338" s="3"/>
      <c r="AE338" s="3"/>
      <c r="AF338" s="3"/>
      <c r="AG338" s="3"/>
    </row>
    <row r="339" spans="1:33" ht="14" thickBot="1" x14ac:dyDescent="0.2">
      <c r="A339" s="568"/>
      <c r="B339" s="211"/>
      <c r="C339" s="38"/>
      <c r="D339" s="38"/>
      <c r="E339" s="84">
        <f>SUM(E327:E338)</f>
        <v>10031.800370947472</v>
      </c>
      <c r="F339" s="462">
        <f>SUM(F327:F338)</f>
        <v>3057.6927530647899</v>
      </c>
      <c r="G339" s="38"/>
      <c r="H339" s="38"/>
      <c r="I339" s="38"/>
      <c r="J339" s="38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  <c r="V339" s="113" t="s">
        <v>18</v>
      </c>
      <c r="W339" s="38"/>
      <c r="X339" s="172"/>
      <c r="Y339" s="211"/>
      <c r="Z339" s="172"/>
      <c r="AA339" s="3"/>
      <c r="AB339" s="3"/>
      <c r="AC339" s="3"/>
      <c r="AD339" s="3"/>
      <c r="AE339" s="3"/>
      <c r="AF339" s="3"/>
      <c r="AG339" s="3"/>
    </row>
    <row r="340" spans="1:33" ht="14" thickBot="1" x14ac:dyDescent="0.2">
      <c r="A340" s="632" t="s">
        <v>553</v>
      </c>
      <c r="B340" s="211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  <c r="V340" s="38"/>
      <c r="W340" s="38"/>
      <c r="X340" s="172"/>
      <c r="Y340" s="211"/>
      <c r="Z340" s="172"/>
      <c r="AA340" s="3"/>
      <c r="AB340" s="3"/>
      <c r="AC340" s="3"/>
      <c r="AD340" s="3"/>
      <c r="AE340" s="3"/>
      <c r="AF340" s="3"/>
      <c r="AG340" s="3"/>
    </row>
    <row r="341" spans="1:33" x14ac:dyDescent="0.15">
      <c r="A341" s="689" t="s">
        <v>28</v>
      </c>
      <c r="B341" s="211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  <c r="V341" s="38"/>
      <c r="W341" s="38"/>
      <c r="X341" s="172"/>
      <c r="Y341" s="211"/>
      <c r="Z341" s="172"/>
      <c r="AA341" s="3"/>
      <c r="AB341" s="3"/>
      <c r="AC341" s="3"/>
      <c r="AD341" s="3"/>
      <c r="AE341" s="3"/>
      <c r="AF341" s="3"/>
      <c r="AG341" s="3"/>
    </row>
    <row r="342" spans="1:33" x14ac:dyDescent="0.15">
      <c r="A342" s="211">
        <v>1</v>
      </c>
      <c r="B342" s="211">
        <v>18.583334000000001</v>
      </c>
      <c r="C342" s="113">
        <f>+B342*B342</f>
        <v>345.34030255555604</v>
      </c>
      <c r="D342" s="38">
        <v>1</v>
      </c>
      <c r="E342" s="113">
        <f>+C342*3.14159*A342*D342</f>
        <v>1084.9176411055093</v>
      </c>
      <c r="F342" s="113">
        <f>+E342*0.3048</f>
        <v>330.68289700895929</v>
      </c>
      <c r="G342" s="38">
        <v>1</v>
      </c>
      <c r="H342" s="38">
        <v>6.75</v>
      </c>
      <c r="I342" s="38">
        <v>5.4166667000000004</v>
      </c>
      <c r="J342" s="113">
        <f>+G342*H342*I342</f>
        <v>36.562500225000001</v>
      </c>
      <c r="K342" s="113">
        <f>+J342*0.3048</f>
        <v>11.144250068580002</v>
      </c>
      <c r="L342" s="38">
        <v>0.7</v>
      </c>
      <c r="M342" s="113">
        <f>+G342*H342*I342*L342</f>
        <v>25.593750157500001</v>
      </c>
      <c r="N342" s="113">
        <f>+M342*0.3048</f>
        <v>7.8009750480060003</v>
      </c>
      <c r="O342" s="38">
        <v>1</v>
      </c>
      <c r="P342" s="38">
        <v>46.25</v>
      </c>
      <c r="Q342" s="38">
        <v>10.91667</v>
      </c>
      <c r="R342" s="38">
        <v>1</v>
      </c>
      <c r="S342" s="113">
        <f>+O342*P342*Q342*R342</f>
        <v>504.89598749999999</v>
      </c>
      <c r="T342" s="113">
        <f>+S342*0.3048</f>
        <v>153.89229699000001</v>
      </c>
      <c r="U342" s="84">
        <v>89.416667000000004</v>
      </c>
      <c r="V342" s="84">
        <f>+U342*0.3048</f>
        <v>27.254200101600002</v>
      </c>
      <c r="W342" s="38"/>
      <c r="X342" s="172"/>
      <c r="Y342" s="211"/>
      <c r="Z342" s="172"/>
      <c r="AA342" s="3"/>
      <c r="AB342" s="3"/>
      <c r="AC342" s="3"/>
      <c r="AD342" s="3"/>
      <c r="AE342" s="3"/>
      <c r="AF342" s="3"/>
      <c r="AG342" s="3"/>
    </row>
    <row r="343" spans="1:33" x14ac:dyDescent="0.15">
      <c r="A343" s="211">
        <v>1</v>
      </c>
      <c r="B343" s="211">
        <v>7.0833332999999996</v>
      </c>
      <c r="C343" s="113">
        <f>+B343*B343</f>
        <v>50.173610638888881</v>
      </c>
      <c r="D343" s="38">
        <v>1</v>
      </c>
      <c r="E343" s="113">
        <f>+C343*3.14159*A343*D343</f>
        <v>157.62491344702693</v>
      </c>
      <c r="F343" s="113">
        <f>+E343*0.3048</f>
        <v>48.044073618653812</v>
      </c>
      <c r="G343" s="38">
        <v>4</v>
      </c>
      <c r="H343" s="38">
        <v>3.1666699999999999</v>
      </c>
      <c r="I343" s="38">
        <v>3.1666699999999999</v>
      </c>
      <c r="J343" s="113">
        <f>+G343*H343*I343</f>
        <v>40.111195555599998</v>
      </c>
      <c r="K343" s="113">
        <f>+J343*0.3048</f>
        <v>12.22589240534688</v>
      </c>
      <c r="L343" s="38">
        <v>0.7</v>
      </c>
      <c r="M343" s="113">
        <f>+G343*H343*I343*L343</f>
        <v>28.077836888919997</v>
      </c>
      <c r="N343" s="113">
        <f>+M343*0.3048</f>
        <v>8.5581246837428147</v>
      </c>
      <c r="O343" s="38">
        <v>1</v>
      </c>
      <c r="P343" s="38">
        <v>39.583333400000001</v>
      </c>
      <c r="Q343" s="38">
        <v>8</v>
      </c>
      <c r="R343" s="38">
        <v>0.9</v>
      </c>
      <c r="S343" s="113">
        <f>+O343*P343*Q343*R343</f>
        <v>285.00000048000004</v>
      </c>
      <c r="T343" s="113">
        <f>+S343*0.3048</f>
        <v>86.868000146304013</v>
      </c>
      <c r="U343" s="38"/>
      <c r="V343" s="38"/>
      <c r="W343" s="38"/>
      <c r="X343" s="172"/>
      <c r="Y343" s="211"/>
      <c r="Z343" s="172"/>
      <c r="AA343" s="3"/>
      <c r="AB343" s="3"/>
      <c r="AC343" s="3"/>
      <c r="AD343" s="3"/>
      <c r="AE343" s="3"/>
      <c r="AF343" s="3"/>
      <c r="AG343" s="3"/>
    </row>
    <row r="344" spans="1:33" x14ac:dyDescent="0.15">
      <c r="A344" s="211">
        <v>1</v>
      </c>
      <c r="B344" s="211">
        <v>5.0833332999999996</v>
      </c>
      <c r="C344" s="113">
        <f>+B344*B344</f>
        <v>25.840277438888887</v>
      </c>
      <c r="D344" s="38">
        <v>1</v>
      </c>
      <c r="E344" s="113">
        <f>+C344*3.14159*A344*D344</f>
        <v>81.179557199238928</v>
      </c>
      <c r="F344" s="113">
        <f>+E344*0.3048</f>
        <v>24.743529034328027</v>
      </c>
      <c r="G344" s="113" t="s">
        <v>18</v>
      </c>
      <c r="H344" s="38"/>
      <c r="I344" s="113" t="s">
        <v>18</v>
      </c>
      <c r="J344" s="38"/>
      <c r="K344" s="38"/>
      <c r="L344" s="38"/>
      <c r="M344" s="84">
        <f>SUM(M342:M343)</f>
        <v>53.671587046420001</v>
      </c>
      <c r="N344" s="84">
        <f>SUM(N342:N343)</f>
        <v>16.359099731748813</v>
      </c>
      <c r="O344" s="38">
        <v>1</v>
      </c>
      <c r="P344" s="38">
        <v>3.6</v>
      </c>
      <c r="Q344" s="38">
        <v>3.6</v>
      </c>
      <c r="R344" s="38">
        <v>0.9</v>
      </c>
      <c r="S344" s="113">
        <f>+O344*P344*Q344*R344</f>
        <v>11.664000000000001</v>
      </c>
      <c r="T344" s="113">
        <f>+S344*0.3048</f>
        <v>3.5551872000000007</v>
      </c>
      <c r="U344" s="38"/>
      <c r="V344" s="38"/>
      <c r="W344" s="38"/>
      <c r="X344" s="172"/>
      <c r="Y344" s="211"/>
      <c r="Z344" s="172"/>
      <c r="AA344" s="3"/>
      <c r="AB344" s="3"/>
      <c r="AC344" s="3"/>
      <c r="AD344" s="3"/>
      <c r="AE344" s="3"/>
      <c r="AF344" s="3"/>
      <c r="AG344" s="3"/>
    </row>
    <row r="345" spans="1:33" x14ac:dyDescent="0.15">
      <c r="A345" s="211">
        <v>4</v>
      </c>
      <c r="B345" s="211">
        <v>10</v>
      </c>
      <c r="C345" s="113">
        <f>+B345*B345</f>
        <v>100</v>
      </c>
      <c r="D345" s="38">
        <v>1</v>
      </c>
      <c r="E345" s="113">
        <f>+C345*3.14159*A345*D345</f>
        <v>1256.636</v>
      </c>
      <c r="F345" s="113">
        <f>+E345*0.3048</f>
        <v>383.0226528</v>
      </c>
      <c r="G345" s="113" t="s">
        <v>18</v>
      </c>
      <c r="H345" s="38"/>
      <c r="I345" s="38"/>
      <c r="J345" s="38"/>
      <c r="K345" s="113" t="s">
        <v>18</v>
      </c>
      <c r="L345" s="113" t="s">
        <v>18</v>
      </c>
      <c r="M345" s="38"/>
      <c r="N345" s="38"/>
      <c r="O345" s="38">
        <v>1</v>
      </c>
      <c r="P345" s="38">
        <v>6.8333300000000001</v>
      </c>
      <c r="Q345" s="38">
        <v>27</v>
      </c>
      <c r="R345" s="38">
        <v>1</v>
      </c>
      <c r="S345" s="113">
        <f>+O345*P345*Q345*R345</f>
        <v>184.49991</v>
      </c>
      <c r="T345" s="113">
        <f>+S345*0.3048</f>
        <v>56.235572568000002</v>
      </c>
      <c r="U345" s="38"/>
      <c r="V345" s="113" t="s">
        <v>18</v>
      </c>
      <c r="W345" s="38"/>
      <c r="X345" s="172"/>
      <c r="Y345" s="211"/>
      <c r="Z345" s="172"/>
      <c r="AA345" s="40" t="s">
        <v>18</v>
      </c>
      <c r="AB345" s="3"/>
      <c r="AC345" s="3"/>
      <c r="AD345" s="3"/>
      <c r="AE345" s="3"/>
      <c r="AF345" s="3"/>
      <c r="AG345" s="3"/>
    </row>
    <row r="346" spans="1:33" ht="14" thickBot="1" x14ac:dyDescent="0.2">
      <c r="A346" s="568"/>
      <c r="B346" s="568"/>
      <c r="C346" s="174"/>
      <c r="D346" s="174"/>
      <c r="E346" s="270">
        <f>SUM(E342:E345)</f>
        <v>2580.3581117517751</v>
      </c>
      <c r="F346" s="638">
        <f>SUM(F342:F345)</f>
        <v>786.49315246194124</v>
      </c>
      <c r="G346" s="174"/>
      <c r="H346" s="174"/>
      <c r="I346" s="174"/>
      <c r="J346" s="174"/>
      <c r="K346" s="174"/>
      <c r="L346" s="174"/>
      <c r="M346" s="174"/>
      <c r="N346" s="174"/>
      <c r="O346" s="174"/>
      <c r="P346" s="270" t="s">
        <v>18</v>
      </c>
      <c r="Q346" s="270" t="s">
        <v>18</v>
      </c>
      <c r="R346" s="174"/>
      <c r="S346" s="270">
        <f>SUM(S342:S345)</f>
        <v>986.05989797999996</v>
      </c>
      <c r="T346" s="638">
        <f>SUM(T342:T345)</f>
        <v>300.55105690430401</v>
      </c>
      <c r="U346" s="174"/>
      <c r="V346" s="174"/>
      <c r="W346" s="174"/>
      <c r="X346" s="198"/>
      <c r="Y346" s="211"/>
      <c r="Z346" s="172"/>
      <c r="AA346" s="3"/>
      <c r="AB346" s="3"/>
      <c r="AC346" s="3"/>
      <c r="AD346" s="3"/>
      <c r="AE346" s="3"/>
      <c r="AF346" s="3"/>
      <c r="AG346" s="3"/>
    </row>
    <row r="347" spans="1:33" ht="14" thickBot="1" x14ac:dyDescent="0.2">
      <c r="A347" s="662" t="s">
        <v>320</v>
      </c>
      <c r="B347" s="295"/>
      <c r="C347" s="295"/>
      <c r="D347" s="295"/>
      <c r="E347" s="575">
        <f>+SUM(E306+E313+E324+E339+E346)</f>
        <v>33010.29527128287</v>
      </c>
      <c r="F347" s="575">
        <f>+SUM(F306+F313+F324+F339+F346)</f>
        <v>10061.537998687018</v>
      </c>
      <c r="G347" s="295"/>
      <c r="H347" s="295"/>
      <c r="I347" s="295"/>
      <c r="J347" s="295"/>
      <c r="K347" s="295"/>
      <c r="L347" s="295"/>
      <c r="M347" s="575">
        <f>+SUM(M302+M312+M323+M338+M344)</f>
        <v>673.93368741926474</v>
      </c>
      <c r="N347" s="575">
        <f>+SUM(N302+N312+N323+N338+N344)</f>
        <v>205.41498792539193</v>
      </c>
      <c r="O347" s="295"/>
      <c r="P347" s="65"/>
      <c r="Q347" s="65"/>
      <c r="R347" s="295"/>
      <c r="S347" s="575">
        <f>+SUM(S301+S312+S320+S332+S346)</f>
        <v>4573.1571096246143</v>
      </c>
      <c r="T347" s="575">
        <f>+SUM(T301+T312+T320+T332+T346)</f>
        <v>1393.8982870135824</v>
      </c>
      <c r="U347" s="588">
        <f>+SUM(U297+U312+U319+U330+U342)</f>
        <v>434.1666735</v>
      </c>
      <c r="V347" s="588">
        <f>+SUM(V297+V312+V319+V330+V342)</f>
        <v>132.3340020828</v>
      </c>
      <c r="W347" s="295"/>
      <c r="X347" s="613"/>
      <c r="Y347" s="211"/>
      <c r="Z347" s="172"/>
      <c r="AA347" s="3"/>
      <c r="AB347" s="3"/>
      <c r="AC347" s="3"/>
      <c r="AD347" s="3"/>
      <c r="AE347" s="3"/>
      <c r="AF347" s="3"/>
      <c r="AG347" s="3"/>
    </row>
    <row r="348" spans="1:33" ht="14" thickBot="1" x14ac:dyDescent="0.2">
      <c r="A348" s="633"/>
      <c r="B348" s="634"/>
      <c r="C348" s="634"/>
      <c r="D348" s="634"/>
      <c r="E348" s="634"/>
      <c r="F348" s="634"/>
      <c r="G348" s="634" t="s">
        <v>18</v>
      </c>
      <c r="H348" s="634"/>
      <c r="I348" s="634" t="s">
        <v>18</v>
      </c>
      <c r="J348" s="634"/>
      <c r="K348" s="634"/>
      <c r="L348" s="634"/>
      <c r="M348" s="634" t="s">
        <v>18</v>
      </c>
      <c r="N348" s="634"/>
      <c r="O348" s="634"/>
      <c r="P348" s="634" t="s">
        <v>18</v>
      </c>
      <c r="Q348" s="634"/>
      <c r="R348" s="635"/>
      <c r="S348" s="635"/>
      <c r="T348" s="635"/>
      <c r="U348" s="635"/>
      <c r="V348" s="634"/>
      <c r="W348" s="634"/>
      <c r="X348" s="636"/>
      <c r="Y348" s="568"/>
      <c r="Z348" s="198"/>
      <c r="AA348" s="3"/>
      <c r="AB348" s="3"/>
      <c r="AC348" s="3"/>
      <c r="AD348" s="3"/>
      <c r="AE348" s="3"/>
      <c r="AF348" s="3"/>
      <c r="AG348" s="3"/>
    </row>
    <row r="349" spans="1:33" x14ac:dyDescent="0.1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x14ac:dyDescent="0.15">
      <c r="A350" s="3"/>
      <c r="B350" s="3"/>
      <c r="C350" s="3"/>
      <c r="D350" s="40" t="s">
        <v>18</v>
      </c>
      <c r="E350" s="40" t="s">
        <v>18</v>
      </c>
      <c r="F350" s="3"/>
      <c r="G350" s="3"/>
      <c r="H350" s="3"/>
      <c r="I350" s="3"/>
      <c r="J350" s="3"/>
      <c r="K350" s="3"/>
      <c r="L350" s="3"/>
      <c r="M350" s="3"/>
      <c r="N350" s="40" t="s">
        <v>18</v>
      </c>
      <c r="O350" s="3"/>
      <c r="P350" s="3"/>
      <c r="Q350" s="40" t="s">
        <v>18</v>
      </c>
      <c r="R350" s="3"/>
      <c r="S350" s="3"/>
      <c r="T350" s="3"/>
      <c r="U350" s="3"/>
      <c r="V350" s="40" t="s">
        <v>18</v>
      </c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x14ac:dyDescent="0.15">
      <c r="A351" s="3"/>
      <c r="B351" s="3" t="s">
        <v>929</v>
      </c>
      <c r="C351" s="3" t="s">
        <v>930</v>
      </c>
      <c r="D351" s="866" t="s">
        <v>925</v>
      </c>
      <c r="E351" s="866" t="s">
        <v>931</v>
      </c>
      <c r="F351" s="40" t="s">
        <v>18</v>
      </c>
      <c r="G351" s="3"/>
      <c r="H351" s="3"/>
      <c r="I351" s="3"/>
      <c r="J351" s="40" t="s">
        <v>18</v>
      </c>
      <c r="K351" s="3"/>
      <c r="L351" s="3"/>
      <c r="M351" s="3"/>
      <c r="N351" s="3"/>
      <c r="O351" s="3"/>
      <c r="P351" s="3"/>
      <c r="Q351" s="3"/>
      <c r="R351" s="3"/>
      <c r="S351" s="40" t="s">
        <v>18</v>
      </c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x14ac:dyDescent="0.15">
      <c r="A352" s="7" t="s">
        <v>400</v>
      </c>
      <c r="B352" s="3">
        <v>32</v>
      </c>
      <c r="C352" s="3">
        <v>55.416699999999999</v>
      </c>
      <c r="D352" s="3">
        <v>44.416699999999999</v>
      </c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x14ac:dyDescent="0.15">
      <c r="A353" s="3"/>
      <c r="B353" s="3">
        <v>18</v>
      </c>
      <c r="C353" s="3">
        <v>31</v>
      </c>
      <c r="D353" s="3">
        <v>52</v>
      </c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40" t="s">
        <v>18</v>
      </c>
      <c r="R353" s="40" t="s">
        <v>18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x14ac:dyDescent="0.15">
      <c r="A354" s="3"/>
      <c r="B354" s="3">
        <v>61</v>
      </c>
      <c r="C354" s="3">
        <v>39</v>
      </c>
      <c r="D354" s="3">
        <v>27</v>
      </c>
      <c r="E354" s="3"/>
      <c r="F354" s="3"/>
      <c r="G354" s="3"/>
      <c r="H354" s="3"/>
      <c r="I354" s="3"/>
      <c r="J354" s="3"/>
      <c r="K354" s="3"/>
      <c r="L354" s="3"/>
      <c r="M354" s="40" t="s">
        <v>18</v>
      </c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x14ac:dyDescent="0.15">
      <c r="A355" s="3"/>
      <c r="B355" s="3">
        <v>186</v>
      </c>
      <c r="C355" s="3">
        <v>43</v>
      </c>
      <c r="D355" s="3">
        <v>25</v>
      </c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x14ac:dyDescent="0.15">
      <c r="A356" s="3"/>
      <c r="B356" s="3">
        <v>23.83333</v>
      </c>
      <c r="C356" s="3">
        <v>15</v>
      </c>
      <c r="D356" s="3">
        <v>20.33334</v>
      </c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x14ac:dyDescent="0.15">
      <c r="A357" s="3"/>
      <c r="B357" s="3">
        <v>24.25</v>
      </c>
      <c r="C357" s="3">
        <v>145</v>
      </c>
      <c r="D357" s="3">
        <v>30.5</v>
      </c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x14ac:dyDescent="0.15">
      <c r="A358" s="3"/>
      <c r="B358" s="3">
        <v>50</v>
      </c>
      <c r="C358" s="3">
        <v>43</v>
      </c>
      <c r="D358" s="3">
        <v>55.75</v>
      </c>
      <c r="E358" s="3"/>
      <c r="F358" s="3"/>
      <c r="G358" s="942" t="s">
        <v>18</v>
      </c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x14ac:dyDescent="0.15">
      <c r="A359" s="3"/>
      <c r="B359" s="3">
        <v>134.83333400000001</v>
      </c>
      <c r="C359" s="3">
        <v>30.5</v>
      </c>
      <c r="D359" s="3">
        <v>48.25</v>
      </c>
      <c r="E359" s="3"/>
      <c r="F359" s="3"/>
      <c r="G359" s="866" t="s">
        <v>18</v>
      </c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x14ac:dyDescent="0.15">
      <c r="A360" s="3"/>
      <c r="B360" s="3">
        <v>115</v>
      </c>
      <c r="C360" s="3">
        <v>73</v>
      </c>
      <c r="D360" s="3">
        <v>19.166667</v>
      </c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x14ac:dyDescent="0.15">
      <c r="A361" s="3"/>
      <c r="B361" s="3">
        <v>18.833334000000001</v>
      </c>
      <c r="C361" s="3">
        <v>60</v>
      </c>
      <c r="D361" s="3">
        <v>48.25</v>
      </c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x14ac:dyDescent="0.15">
      <c r="A362" s="3"/>
      <c r="B362" s="3">
        <v>181</v>
      </c>
      <c r="C362" s="3">
        <v>46.5</v>
      </c>
      <c r="D362" s="3">
        <v>19.166667</v>
      </c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x14ac:dyDescent="0.15">
      <c r="A363" s="3"/>
      <c r="B363" s="3">
        <v>11.5</v>
      </c>
      <c r="C363" s="3">
        <v>56</v>
      </c>
      <c r="D363" s="7">
        <f>SUM(D352:D362)</f>
        <v>389.83337400000005</v>
      </c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x14ac:dyDescent="0.15">
      <c r="A364" s="3"/>
      <c r="B364" s="3">
        <v>40.75</v>
      </c>
      <c r="C364" s="3">
        <v>64.416700000000006</v>
      </c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x14ac:dyDescent="0.15">
      <c r="A365" s="3"/>
      <c r="B365" s="3">
        <v>14.9166667</v>
      </c>
      <c r="C365" s="3">
        <v>17.66667</v>
      </c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x14ac:dyDescent="0.15">
      <c r="A366" s="3"/>
      <c r="B366" s="7">
        <f>SUM(B352:B365)</f>
        <v>911.91666469999996</v>
      </c>
      <c r="C366" s="3">
        <v>39</v>
      </c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x14ac:dyDescent="0.15">
      <c r="A367" s="3"/>
      <c r="B367" s="3"/>
      <c r="C367" s="3">
        <v>42.25</v>
      </c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x14ac:dyDescent="0.15">
      <c r="A368" s="3"/>
      <c r="B368" s="3"/>
      <c r="C368" s="3">
        <v>51.5</v>
      </c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x14ac:dyDescent="0.15">
      <c r="A369" s="3"/>
      <c r="B369" s="3"/>
      <c r="C369" s="3">
        <v>34.833334000000001</v>
      </c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x14ac:dyDescent="0.15">
      <c r="A370" s="3"/>
      <c r="B370" s="3"/>
      <c r="C370" s="3">
        <v>81.333340000000007</v>
      </c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x14ac:dyDescent="0.15">
      <c r="A371" s="3"/>
      <c r="B371" s="3"/>
      <c r="C371" s="3">
        <v>50</v>
      </c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x14ac:dyDescent="0.15">
      <c r="A372" s="3"/>
      <c r="B372" s="3"/>
      <c r="C372" s="3">
        <v>22.16667</v>
      </c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x14ac:dyDescent="0.15">
      <c r="A373" s="3"/>
      <c r="B373" s="3"/>
      <c r="C373" s="3">
        <v>40.416666999999997</v>
      </c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x14ac:dyDescent="0.15">
      <c r="A374" s="3"/>
      <c r="B374" s="3"/>
      <c r="C374" s="3">
        <v>20</v>
      </c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x14ac:dyDescent="0.15">
      <c r="A375" s="3"/>
      <c r="B375" s="3"/>
      <c r="C375" s="3">
        <v>25.083334000000001</v>
      </c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x14ac:dyDescent="0.15">
      <c r="A376" s="3"/>
      <c r="B376" s="3"/>
      <c r="C376" s="3">
        <v>31</v>
      </c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x14ac:dyDescent="0.15">
      <c r="A377" s="3"/>
      <c r="B377" s="3"/>
      <c r="C377" s="3">
        <v>35.833334000000001</v>
      </c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x14ac:dyDescent="0.15">
      <c r="A378" s="3"/>
      <c r="B378" s="3"/>
      <c r="C378" s="3">
        <v>70.75</v>
      </c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x14ac:dyDescent="0.15">
      <c r="A379" s="3"/>
      <c r="B379" s="3"/>
      <c r="C379" s="3">
        <v>62.583334000000001</v>
      </c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x14ac:dyDescent="0.15">
      <c r="A380" s="3"/>
      <c r="B380" s="3"/>
      <c r="C380" s="3">
        <v>42</v>
      </c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x14ac:dyDescent="0.15">
      <c r="A381" s="3"/>
      <c r="B381" s="3"/>
      <c r="C381" s="3">
        <v>30</v>
      </c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x14ac:dyDescent="0.15">
      <c r="A382" s="3"/>
      <c r="B382" s="3"/>
      <c r="C382" s="3">
        <v>17.583334000000001</v>
      </c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x14ac:dyDescent="0.15">
      <c r="A383" s="3"/>
      <c r="B383" s="3"/>
      <c r="C383" s="3">
        <v>19</v>
      </c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x14ac:dyDescent="0.15">
      <c r="A384" s="3"/>
      <c r="B384" s="3"/>
      <c r="C384" s="7">
        <f>SUM(C352:C383)</f>
        <v>1434.8334169999996</v>
      </c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6" spans="1:6" x14ac:dyDescent="0.15">
      <c r="A386" s="1" t="s">
        <v>405</v>
      </c>
      <c r="B386">
        <v>165.91666670000001</v>
      </c>
      <c r="C386" s="3">
        <v>15.666700000000001</v>
      </c>
      <c r="D386">
        <f>5/6</f>
        <v>0.83333333333333337</v>
      </c>
    </row>
    <row r="387" spans="1:6" x14ac:dyDescent="0.15">
      <c r="B387">
        <v>24.666699999999999</v>
      </c>
      <c r="C387" s="3">
        <v>25.416667</v>
      </c>
      <c r="D387">
        <v>33.9166667</v>
      </c>
    </row>
    <row r="388" spans="1:6" x14ac:dyDescent="0.15">
      <c r="B388">
        <v>20.083334000000001</v>
      </c>
      <c r="C388" s="3">
        <v>75</v>
      </c>
      <c r="D388" s="1">
        <f>SUM(D386:D387)</f>
        <v>34.750000033333336</v>
      </c>
      <c r="F388" s="859" t="s">
        <v>18</v>
      </c>
    </row>
    <row r="389" spans="1:6" x14ac:dyDescent="0.15">
      <c r="B389">
        <v>91.5</v>
      </c>
      <c r="C389" s="3">
        <v>66.25</v>
      </c>
    </row>
    <row r="390" spans="1:6" x14ac:dyDescent="0.15">
      <c r="B390">
        <v>63.666699999999999</v>
      </c>
      <c r="C390" s="3">
        <v>24.666699999999999</v>
      </c>
    </row>
    <row r="391" spans="1:6" x14ac:dyDescent="0.15">
      <c r="B391">
        <v>48.166670000000003</v>
      </c>
      <c r="C391" s="3">
        <v>35.33334</v>
      </c>
    </row>
    <row r="392" spans="1:6" x14ac:dyDescent="0.15">
      <c r="B392">
        <v>39.083334000000001</v>
      </c>
      <c r="C392" s="7">
        <f>SUM(C386:C391)</f>
        <v>242.33340699999999</v>
      </c>
    </row>
    <row r="393" spans="1:6" x14ac:dyDescent="0.15">
      <c r="B393">
        <v>25</v>
      </c>
    </row>
    <row r="394" spans="1:6" x14ac:dyDescent="0.15">
      <c r="B394">
        <v>23.333400000000001</v>
      </c>
    </row>
    <row r="395" spans="1:6" x14ac:dyDescent="0.15">
      <c r="B395">
        <v>20.166667</v>
      </c>
    </row>
    <row r="396" spans="1:6" x14ac:dyDescent="0.15">
      <c r="B396" s="1">
        <f>SUM(B386:B395)</f>
        <v>521.5834716999999</v>
      </c>
    </row>
    <row r="398" spans="1:6" x14ac:dyDescent="0.15">
      <c r="A398" s="1" t="s">
        <v>408</v>
      </c>
      <c r="B398">
        <v>68</v>
      </c>
      <c r="C398">
        <v>56.25</v>
      </c>
      <c r="D398">
        <v>174.75</v>
      </c>
    </row>
    <row r="399" spans="1:6" x14ac:dyDescent="0.15">
      <c r="B399">
        <v>135</v>
      </c>
      <c r="C399">
        <v>43</v>
      </c>
      <c r="D399">
        <v>62.83334</v>
      </c>
    </row>
    <row r="400" spans="1:6" x14ac:dyDescent="0.15">
      <c r="B400">
        <v>45.75</v>
      </c>
      <c r="C400">
        <v>25.9166667</v>
      </c>
      <c r="D400">
        <v>41.166666999999997</v>
      </c>
    </row>
    <row r="401" spans="1:8" x14ac:dyDescent="0.15">
      <c r="B401">
        <v>16.333400000000001</v>
      </c>
      <c r="C401">
        <v>121.08333399999999</v>
      </c>
      <c r="D401">
        <v>27.5</v>
      </c>
    </row>
    <row r="402" spans="1:8" x14ac:dyDescent="0.15">
      <c r="B402">
        <v>21.25</v>
      </c>
      <c r="C402" s="1">
        <f>SUM(C398:C401)</f>
        <v>246.25000069999999</v>
      </c>
      <c r="D402">
        <v>53.088839999999998</v>
      </c>
    </row>
    <row r="403" spans="1:8" x14ac:dyDescent="0.15">
      <c r="B403">
        <v>15.75</v>
      </c>
      <c r="D403">
        <v>44.833334000000001</v>
      </c>
    </row>
    <row r="404" spans="1:8" x14ac:dyDescent="0.15">
      <c r="B404">
        <v>22.416667</v>
      </c>
      <c r="D404">
        <v>80.5</v>
      </c>
    </row>
    <row r="405" spans="1:8" x14ac:dyDescent="0.15">
      <c r="B405">
        <v>16.916667</v>
      </c>
      <c r="D405" s="1">
        <f>SUM(D398:D404)</f>
        <v>484.67218099999997</v>
      </c>
    </row>
    <row r="406" spans="1:8" x14ac:dyDescent="0.15">
      <c r="B406">
        <v>21.083334000000001</v>
      </c>
    </row>
    <row r="407" spans="1:8" x14ac:dyDescent="0.15">
      <c r="B407">
        <v>28</v>
      </c>
    </row>
    <row r="408" spans="1:8" x14ac:dyDescent="0.15">
      <c r="B408" s="859">
        <v>46.666699999999999</v>
      </c>
    </row>
    <row r="409" spans="1:8" x14ac:dyDescent="0.15">
      <c r="A409" s="859" t="s">
        <v>932</v>
      </c>
      <c r="B409">
        <v>73.833340000000007</v>
      </c>
    </row>
    <row r="410" spans="1:8" x14ac:dyDescent="0.15">
      <c r="B410">
        <v>46.666670000000003</v>
      </c>
    </row>
    <row r="411" spans="1:8" x14ac:dyDescent="0.15">
      <c r="B411">
        <v>105.5</v>
      </c>
    </row>
    <row r="412" spans="1:8" x14ac:dyDescent="0.15">
      <c r="B412">
        <v>24</v>
      </c>
    </row>
    <row r="413" spans="1:8" x14ac:dyDescent="0.15">
      <c r="B413">
        <v>39.916666999999997</v>
      </c>
    </row>
    <row r="414" spans="1:8" x14ac:dyDescent="0.15">
      <c r="B414" s="1">
        <f>SUM(B398:B413)</f>
        <v>727.08344499999998</v>
      </c>
    </row>
    <row r="416" spans="1:8" x14ac:dyDescent="0.15">
      <c r="A416" s="1" t="s">
        <v>404</v>
      </c>
      <c r="B416">
        <v>85.583333999999994</v>
      </c>
      <c r="C416">
        <v>75.75</v>
      </c>
      <c r="D416">
        <v>20.66667</v>
      </c>
      <c r="H416">
        <f>5/6</f>
        <v>0.83333333333333337</v>
      </c>
    </row>
    <row r="417" spans="2:4" x14ac:dyDescent="0.15">
      <c r="B417">
        <v>82</v>
      </c>
      <c r="C417">
        <v>100.25</v>
      </c>
      <c r="D417">
        <v>17.16667</v>
      </c>
    </row>
    <row r="418" spans="2:4" x14ac:dyDescent="0.15">
      <c r="B418">
        <v>32.75</v>
      </c>
      <c r="C418">
        <v>39.166670000000003</v>
      </c>
      <c r="D418">
        <v>19.16667</v>
      </c>
    </row>
    <row r="419" spans="2:4" x14ac:dyDescent="0.15">
      <c r="B419">
        <v>50.25</v>
      </c>
      <c r="C419">
        <v>35.6</v>
      </c>
      <c r="D419">
        <v>30.166667</v>
      </c>
    </row>
    <row r="420" spans="2:4" x14ac:dyDescent="0.15">
      <c r="B420">
        <v>21</v>
      </c>
      <c r="C420">
        <v>34.5</v>
      </c>
      <c r="D420">
        <v>31.333334000000001</v>
      </c>
    </row>
    <row r="421" spans="2:4" x14ac:dyDescent="0.15">
      <c r="B421">
        <v>96.333399999999997</v>
      </c>
      <c r="C421">
        <v>62.5</v>
      </c>
      <c r="D421">
        <v>16.66667</v>
      </c>
    </row>
    <row r="422" spans="2:4" x14ac:dyDescent="0.15">
      <c r="B422">
        <v>30</v>
      </c>
      <c r="C422">
        <v>14.166667</v>
      </c>
      <c r="D422">
        <v>29.833334000000001</v>
      </c>
    </row>
    <row r="423" spans="2:4" x14ac:dyDescent="0.15">
      <c r="B423">
        <v>24.583334000000001</v>
      </c>
      <c r="C423">
        <v>39.166699999999999</v>
      </c>
      <c r="D423">
        <v>30</v>
      </c>
    </row>
    <row r="424" spans="2:4" x14ac:dyDescent="0.15">
      <c r="B424">
        <v>39.75</v>
      </c>
      <c r="C424">
        <v>22.083334000000001</v>
      </c>
      <c r="D424" s="1">
        <f>SUM(D416:D423)</f>
        <v>195.00001500000002</v>
      </c>
    </row>
    <row r="425" spans="2:4" x14ac:dyDescent="0.15">
      <c r="B425">
        <v>15.333399999999999</v>
      </c>
      <c r="C425">
        <v>46.088830000000002</v>
      </c>
    </row>
    <row r="426" spans="2:4" x14ac:dyDescent="0.15">
      <c r="B426">
        <v>15.9166667</v>
      </c>
      <c r="C426">
        <v>41.333399999999997</v>
      </c>
    </row>
    <row r="427" spans="2:4" x14ac:dyDescent="0.15">
      <c r="B427">
        <v>31.83334</v>
      </c>
      <c r="C427">
        <v>48.833334000000001</v>
      </c>
    </row>
    <row r="428" spans="2:4" x14ac:dyDescent="0.15">
      <c r="B428">
        <v>49.83334</v>
      </c>
      <c r="C428">
        <v>42.166670000000003</v>
      </c>
    </row>
    <row r="429" spans="2:4" x14ac:dyDescent="0.15">
      <c r="B429">
        <v>21.5</v>
      </c>
      <c r="C429">
        <v>17.33334</v>
      </c>
    </row>
    <row r="430" spans="2:4" x14ac:dyDescent="0.15">
      <c r="B430">
        <v>13.666700000000001</v>
      </c>
      <c r="C430">
        <v>17.166667</v>
      </c>
    </row>
    <row r="431" spans="2:4" x14ac:dyDescent="0.15">
      <c r="B431">
        <v>24.083333400000001</v>
      </c>
      <c r="C431">
        <v>46.9166667</v>
      </c>
    </row>
    <row r="432" spans="2:4" x14ac:dyDescent="0.15">
      <c r="B432">
        <v>25.083334000000001</v>
      </c>
      <c r="C432">
        <v>26.4166667</v>
      </c>
    </row>
    <row r="433" spans="1:4" x14ac:dyDescent="0.15">
      <c r="B433">
        <v>50.9166667</v>
      </c>
      <c r="C433">
        <v>86.666700000000006</v>
      </c>
    </row>
    <row r="434" spans="1:4" x14ac:dyDescent="0.15">
      <c r="B434" s="1">
        <f>SUM(B416:B433)</f>
        <v>710.41684879999991</v>
      </c>
      <c r="C434" s="1">
        <f>SUM(C416:C433)</f>
        <v>796.10564539999984</v>
      </c>
    </row>
    <row r="436" spans="1:4" x14ac:dyDescent="0.15">
      <c r="A436" s="1" t="s">
        <v>409</v>
      </c>
      <c r="B436" s="1">
        <v>350.8</v>
      </c>
      <c r="C436" s="1">
        <v>636.29999999999995</v>
      </c>
      <c r="D436" s="1">
        <v>220.4</v>
      </c>
    </row>
  </sheetData>
  <phoneticPr fontId="5" type="noConversion"/>
  <pageMargins left="0.75" right="0.75" top="1" bottom="1" header="0.5" footer="0.5"/>
  <pageSetup orientation="portrait" horizontalDpi="200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80"/>
  <sheetViews>
    <sheetView topLeftCell="A50" workbookViewId="0">
      <selection activeCell="P67" sqref="P67"/>
    </sheetView>
  </sheetViews>
  <sheetFormatPr baseColWidth="10" defaultColWidth="8.83203125" defaultRowHeight="13" x14ac:dyDescent="0.15"/>
  <cols>
    <col min="1" max="1" width="16.5" bestFit="1" customWidth="1"/>
    <col min="11" max="11" width="12.83203125" bestFit="1" customWidth="1"/>
    <col min="14" max="14" width="11.5" bestFit="1" customWidth="1"/>
    <col min="15" max="15" width="11.5" customWidth="1"/>
  </cols>
  <sheetData>
    <row r="1" spans="1:24" ht="17" thickBot="1" x14ac:dyDescent="0.25">
      <c r="A1" s="528" t="s">
        <v>684</v>
      </c>
      <c r="B1" s="529"/>
      <c r="C1" s="529"/>
      <c r="D1" s="529"/>
      <c r="E1" s="529"/>
      <c r="F1" s="529"/>
    </row>
    <row r="2" spans="1:24" ht="14" thickBot="1" x14ac:dyDescent="0.2">
      <c r="A2" s="375"/>
      <c r="B2" s="257"/>
      <c r="C2" s="257"/>
      <c r="D2" s="376"/>
      <c r="E2" s="376"/>
      <c r="F2" s="377"/>
      <c r="G2" s="376"/>
      <c r="H2" s="376"/>
      <c r="I2" s="376"/>
      <c r="J2" s="376"/>
      <c r="K2" s="377"/>
      <c r="L2" s="376"/>
      <c r="M2" s="376"/>
      <c r="N2" s="257"/>
      <c r="O2" s="257"/>
      <c r="P2" s="257"/>
      <c r="Q2" s="373" t="s">
        <v>18</v>
      </c>
    </row>
    <row r="3" spans="1:24" x14ac:dyDescent="0.15">
      <c r="A3" s="201" t="s">
        <v>12</v>
      </c>
      <c r="B3" s="153"/>
      <c r="C3" s="203"/>
      <c r="D3" s="153"/>
      <c r="E3" s="154" t="s">
        <v>18</v>
      </c>
      <c r="F3" s="155" t="s">
        <v>169</v>
      </c>
      <c r="G3" s="155" t="s">
        <v>170</v>
      </c>
      <c r="H3" s="155" t="s">
        <v>220</v>
      </c>
      <c r="I3" s="155" t="s">
        <v>184</v>
      </c>
      <c r="J3" s="155" t="s">
        <v>169</v>
      </c>
      <c r="K3" s="155" t="s">
        <v>170</v>
      </c>
      <c r="L3" s="155" t="s">
        <v>220</v>
      </c>
      <c r="M3" s="205" t="s">
        <v>184</v>
      </c>
      <c r="N3" s="87"/>
      <c r="O3" s="50"/>
      <c r="P3" s="50"/>
      <c r="Q3" s="83"/>
    </row>
    <row r="4" spans="1:24" x14ac:dyDescent="0.15">
      <c r="A4" s="202" t="s">
        <v>638</v>
      </c>
      <c r="B4" s="183" t="s">
        <v>682</v>
      </c>
      <c r="C4" s="184"/>
      <c r="D4" s="183"/>
      <c r="E4" s="21"/>
      <c r="F4" s="14" t="s">
        <v>192</v>
      </c>
      <c r="G4" s="23" t="s">
        <v>219</v>
      </c>
      <c r="H4" s="26" t="s">
        <v>172</v>
      </c>
      <c r="I4" s="19" t="s">
        <v>185</v>
      </c>
      <c r="J4" s="14" t="s">
        <v>222</v>
      </c>
      <c r="K4" s="23" t="s">
        <v>223</v>
      </c>
      <c r="L4" s="26" t="s">
        <v>172</v>
      </c>
      <c r="M4" s="157" t="s">
        <v>185</v>
      </c>
      <c r="N4" s="80"/>
      <c r="O4" s="14"/>
      <c r="P4" s="14"/>
      <c r="Q4" s="136"/>
    </row>
    <row r="5" spans="1:24" ht="14" thickBot="1" x14ac:dyDescent="0.2">
      <c r="A5" s="82"/>
      <c r="B5" s="204" t="s">
        <v>215</v>
      </c>
      <c r="C5" s="162"/>
      <c r="D5" s="206"/>
      <c r="E5" s="160"/>
      <c r="F5" s="160" t="s">
        <v>217</v>
      </c>
      <c r="G5" s="161" t="s">
        <v>18</v>
      </c>
      <c r="H5" s="161" t="s">
        <v>221</v>
      </c>
      <c r="I5" s="160" t="s">
        <v>18</v>
      </c>
      <c r="J5" s="34" t="s">
        <v>216</v>
      </c>
      <c r="K5" s="160" t="s">
        <v>191</v>
      </c>
      <c r="L5" s="160" t="s">
        <v>224</v>
      </c>
      <c r="M5" s="162"/>
      <c r="N5" s="82"/>
      <c r="O5" s="34"/>
      <c r="P5" s="34"/>
      <c r="Q5" s="35"/>
    </row>
    <row r="6" spans="1:24" x14ac:dyDescent="0.15">
      <c r="A6" s="145"/>
      <c r="B6" s="13" t="s">
        <v>188</v>
      </c>
      <c r="C6" s="13" t="s">
        <v>188</v>
      </c>
      <c r="D6" s="27" t="s">
        <v>206</v>
      </c>
      <c r="E6" s="13" t="s">
        <v>197</v>
      </c>
      <c r="F6" s="13" t="s">
        <v>209</v>
      </c>
      <c r="G6" s="185" t="s">
        <v>226</v>
      </c>
      <c r="H6" s="15" t="s">
        <v>227</v>
      </c>
      <c r="I6" s="15" t="s">
        <v>228</v>
      </c>
      <c r="J6" s="13" t="s">
        <v>197</v>
      </c>
      <c r="K6" s="13" t="s">
        <v>209</v>
      </c>
      <c r="L6" s="30" t="s">
        <v>229</v>
      </c>
      <c r="M6" s="30" t="s">
        <v>226</v>
      </c>
      <c r="N6" s="27" t="s">
        <v>247</v>
      </c>
      <c r="O6" s="13" t="s">
        <v>209</v>
      </c>
      <c r="P6" s="28" t="s">
        <v>249</v>
      </c>
      <c r="Q6" s="13" t="s">
        <v>209</v>
      </c>
      <c r="R6" s="73"/>
      <c r="S6" s="15"/>
      <c r="T6" s="15" t="s">
        <v>18</v>
      </c>
      <c r="U6" s="13"/>
      <c r="V6" s="13"/>
      <c r="W6" s="30"/>
      <c r="X6" s="30"/>
    </row>
    <row r="7" spans="1:24" ht="14" thickBot="1" x14ac:dyDescent="0.2">
      <c r="A7" s="59" t="s">
        <v>225</v>
      </c>
      <c r="B7" s="10" t="s">
        <v>207</v>
      </c>
      <c r="C7" s="10" t="s">
        <v>208</v>
      </c>
      <c r="D7" s="11" t="s">
        <v>205</v>
      </c>
      <c r="E7" s="10" t="s">
        <v>240</v>
      </c>
      <c r="F7" s="10" t="s">
        <v>210</v>
      </c>
      <c r="G7" s="31" t="s">
        <v>37</v>
      </c>
      <c r="H7" s="12"/>
      <c r="I7" s="12"/>
      <c r="J7" s="10" t="s">
        <v>683</v>
      </c>
      <c r="K7" s="10" t="s">
        <v>210</v>
      </c>
      <c r="L7" s="29"/>
      <c r="M7" s="29" t="s">
        <v>37</v>
      </c>
      <c r="N7" s="11" t="s">
        <v>248</v>
      </c>
      <c r="O7" s="10" t="s">
        <v>210</v>
      </c>
      <c r="P7" s="24" t="s">
        <v>250</v>
      </c>
      <c r="Q7" s="10" t="s">
        <v>210</v>
      </c>
      <c r="R7" s="73"/>
      <c r="S7" s="15"/>
      <c r="T7" s="15"/>
      <c r="U7" s="13"/>
      <c r="V7" s="13"/>
      <c r="W7" s="14"/>
      <c r="X7" s="14"/>
    </row>
    <row r="8" spans="1:24" x14ac:dyDescent="0.15">
      <c r="A8" s="46" t="s">
        <v>217</v>
      </c>
      <c r="B8" s="36">
        <v>0.68680555555555556</v>
      </c>
      <c r="C8" s="37">
        <v>0.7680555555555556</v>
      </c>
      <c r="D8" s="41">
        <v>106</v>
      </c>
      <c r="E8" s="14">
        <f>39+14</f>
        <v>53</v>
      </c>
      <c r="F8" s="38">
        <f>+E8/D8</f>
        <v>0.5</v>
      </c>
      <c r="G8" s="14">
        <v>37</v>
      </c>
      <c r="H8" s="14">
        <v>3</v>
      </c>
      <c r="I8" s="14">
        <v>1</v>
      </c>
      <c r="J8" s="14">
        <v>19</v>
      </c>
      <c r="K8" s="38">
        <f>+J8/D8</f>
        <v>0.17924528301886791</v>
      </c>
      <c r="L8" s="14">
        <v>8</v>
      </c>
      <c r="M8" s="14">
        <v>10</v>
      </c>
      <c r="N8" s="41">
        <v>56</v>
      </c>
      <c r="O8" s="38">
        <f>+N8/D8</f>
        <v>0.52830188679245282</v>
      </c>
      <c r="P8" s="30">
        <v>125</v>
      </c>
      <c r="Q8" s="38">
        <f>+P8/D8</f>
        <v>1.179245283018868</v>
      </c>
      <c r="R8" s="41"/>
      <c r="S8" s="14"/>
      <c r="T8" s="14" t="s">
        <v>18</v>
      </c>
      <c r="U8" s="14"/>
      <c r="V8" s="14"/>
      <c r="W8" s="14"/>
      <c r="X8" s="14"/>
    </row>
    <row r="9" spans="1:24" ht="14" thickBot="1" x14ac:dyDescent="0.2">
      <c r="A9" s="47" t="s">
        <v>234</v>
      </c>
      <c r="B9" s="37">
        <v>0.45833333333333331</v>
      </c>
      <c r="C9" s="36">
        <v>0.55208333333333337</v>
      </c>
      <c r="D9" s="41">
        <v>135</v>
      </c>
      <c r="E9" s="14">
        <v>36</v>
      </c>
      <c r="F9" s="38">
        <f>+E9/D9</f>
        <v>0.26666666666666666</v>
      </c>
      <c r="G9" s="14">
        <v>26</v>
      </c>
      <c r="H9" s="14">
        <v>6</v>
      </c>
      <c r="I9" s="14">
        <v>1</v>
      </c>
      <c r="J9" s="14">
        <v>8</v>
      </c>
      <c r="K9" s="38">
        <f>+J9/D9</f>
        <v>5.9259259259259262E-2</v>
      </c>
      <c r="L9" s="14">
        <v>0</v>
      </c>
      <c r="M9" s="14">
        <v>6</v>
      </c>
      <c r="N9" s="72">
        <v>54</v>
      </c>
      <c r="O9" s="14">
        <f>+N9/D9</f>
        <v>0.4</v>
      </c>
      <c r="P9" s="30">
        <v>125</v>
      </c>
      <c r="Q9" s="180">
        <f>+P9/D9</f>
        <v>0.92592592592592593</v>
      </c>
      <c r="R9" s="41"/>
      <c r="S9" s="14"/>
      <c r="T9" s="14"/>
      <c r="U9" s="14"/>
      <c r="V9" s="14"/>
      <c r="W9" s="14"/>
      <c r="X9" s="14"/>
    </row>
    <row r="10" spans="1:24" ht="14" thickBot="1" x14ac:dyDescent="0.2">
      <c r="A10" s="42" t="s">
        <v>68</v>
      </c>
      <c r="B10" s="44"/>
      <c r="C10" s="44"/>
      <c r="D10" s="98">
        <f>SUM(D8:D9)</f>
        <v>241</v>
      </c>
      <c r="E10" s="98">
        <f>SUM(E8:E9)</f>
        <v>89</v>
      </c>
      <c r="F10" s="846">
        <f>+E10/D10</f>
        <v>0.36929460580912865</v>
      </c>
      <c r="G10" s="98">
        <f>SUM(G8:G9)</f>
        <v>63</v>
      </c>
      <c r="H10" s="98">
        <f>SUM(H8:H9)</f>
        <v>9</v>
      </c>
      <c r="I10" s="98">
        <f>SUM(I8:I9)</f>
        <v>2</v>
      </c>
      <c r="J10" s="98">
        <f>SUM(J8:J9)</f>
        <v>27</v>
      </c>
      <c r="K10" s="846">
        <f>+J10/D10</f>
        <v>0.11203319502074689</v>
      </c>
      <c r="L10" s="98">
        <f>SUM(L8:L9)</f>
        <v>8</v>
      </c>
      <c r="M10" s="98">
        <f>SUM(M8:M9)</f>
        <v>16</v>
      </c>
      <c r="N10" s="292">
        <f>SUM(N8:N9)</f>
        <v>110</v>
      </c>
      <c r="O10" s="846">
        <f>+N10/D10</f>
        <v>0.45643153526970953</v>
      </c>
      <c r="P10" s="98">
        <f>SUM(P8:P9)</f>
        <v>250</v>
      </c>
      <c r="Q10" s="845">
        <f>+P10/D10</f>
        <v>1.0373443983402491</v>
      </c>
      <c r="R10" s="14"/>
      <c r="S10" s="14"/>
      <c r="T10" s="14" t="s">
        <v>18</v>
      </c>
      <c r="U10" s="14"/>
      <c r="V10" s="14"/>
      <c r="W10" s="14"/>
      <c r="X10" s="14"/>
    </row>
    <row r="11" spans="1:24" ht="14" thickBot="1" x14ac:dyDescent="0.2">
      <c r="A11" s="375"/>
      <c r="B11" s="257"/>
      <c r="C11" s="257"/>
      <c r="D11" s="376"/>
      <c r="E11" s="376"/>
      <c r="F11" s="377"/>
      <c r="G11" s="376"/>
      <c r="H11" s="376"/>
      <c r="I11" s="376"/>
      <c r="J11" s="376"/>
      <c r="K11" s="377"/>
      <c r="L11" s="376"/>
      <c r="M11" s="376"/>
      <c r="N11" s="257"/>
      <c r="O11" s="257"/>
      <c r="P11" s="257"/>
      <c r="Q11" s="373" t="s">
        <v>18</v>
      </c>
      <c r="R11" s="14"/>
      <c r="S11" s="14" t="s">
        <v>18</v>
      </c>
      <c r="T11" s="14"/>
      <c r="U11" s="14"/>
      <c r="V11" s="14"/>
      <c r="W11" s="14"/>
      <c r="X11" s="14"/>
    </row>
    <row r="12" spans="1:24" x14ac:dyDescent="0.15">
      <c r="A12" s="53" t="s">
        <v>12</v>
      </c>
      <c r="B12" s="87"/>
      <c r="C12" s="83"/>
      <c r="D12" s="87"/>
      <c r="E12" s="50"/>
      <c r="F12" s="155" t="s">
        <v>169</v>
      </c>
      <c r="G12" s="155" t="s">
        <v>170</v>
      </c>
      <c r="H12" s="155" t="s">
        <v>220</v>
      </c>
      <c r="I12" s="155" t="s">
        <v>184</v>
      </c>
      <c r="J12" s="155" t="s">
        <v>169</v>
      </c>
      <c r="K12" s="155" t="s">
        <v>170</v>
      </c>
      <c r="L12" s="155" t="s">
        <v>220</v>
      </c>
      <c r="M12" s="83"/>
      <c r="N12" s="50"/>
      <c r="O12" s="50"/>
      <c r="P12" s="50"/>
      <c r="Q12" s="83"/>
      <c r="R12" s="14"/>
    </row>
    <row r="13" spans="1:24" ht="14" thickBot="1" x14ac:dyDescent="0.2">
      <c r="A13" s="74" t="s">
        <v>649</v>
      </c>
      <c r="B13" s="183" t="s">
        <v>682</v>
      </c>
      <c r="C13" s="157"/>
      <c r="D13" s="206"/>
      <c r="E13" s="160" t="s">
        <v>18</v>
      </c>
      <c r="F13" s="34"/>
      <c r="G13" s="34"/>
      <c r="H13" s="535" t="s">
        <v>172</v>
      </c>
      <c r="I13" s="34"/>
      <c r="J13" s="34"/>
      <c r="K13" s="34"/>
      <c r="L13" s="535" t="s">
        <v>172</v>
      </c>
      <c r="M13" s="165" t="s">
        <v>184</v>
      </c>
      <c r="N13" s="14"/>
      <c r="O13" s="14"/>
      <c r="P13" s="14"/>
      <c r="Q13" s="136"/>
      <c r="R13" s="14"/>
    </row>
    <row r="14" spans="1:24" x14ac:dyDescent="0.15">
      <c r="A14" s="531" t="s">
        <v>637</v>
      </c>
      <c r="B14" s="183" t="s">
        <v>215</v>
      </c>
      <c r="C14" s="184"/>
      <c r="D14" s="183"/>
      <c r="E14" s="21"/>
      <c r="F14" s="14" t="s">
        <v>193</v>
      </c>
      <c r="G14" s="23" t="s">
        <v>191</v>
      </c>
      <c r="H14" s="23" t="s">
        <v>230</v>
      </c>
      <c r="I14" s="19" t="s">
        <v>185</v>
      </c>
      <c r="J14" s="14" t="s">
        <v>231</v>
      </c>
      <c r="K14" s="23" t="s">
        <v>237</v>
      </c>
      <c r="L14" s="14" t="s">
        <v>238</v>
      </c>
      <c r="M14" s="157" t="s">
        <v>185</v>
      </c>
      <c r="N14" s="14"/>
      <c r="O14" s="14"/>
      <c r="P14" s="14"/>
      <c r="Q14" s="136"/>
      <c r="R14" s="14"/>
      <c r="T14" t="s">
        <v>18</v>
      </c>
    </row>
    <row r="15" spans="1:24" x14ac:dyDescent="0.15">
      <c r="B15" s="80"/>
      <c r="C15" s="157"/>
      <c r="D15" s="182"/>
      <c r="E15" s="19"/>
      <c r="F15" s="19" t="s">
        <v>217</v>
      </c>
      <c r="G15" s="23" t="s">
        <v>18</v>
      </c>
      <c r="H15" s="14"/>
      <c r="I15" s="19" t="s">
        <v>18</v>
      </c>
      <c r="J15" s="14" t="s">
        <v>234</v>
      </c>
      <c r="K15" s="19" t="s">
        <v>18</v>
      </c>
      <c r="L15" s="19" t="s">
        <v>18</v>
      </c>
      <c r="M15" s="157"/>
      <c r="N15" s="14"/>
      <c r="O15" s="64" t="s">
        <v>18</v>
      </c>
      <c r="P15" s="14"/>
      <c r="Q15" s="136"/>
      <c r="R15" s="14"/>
    </row>
    <row r="16" spans="1:24" x14ac:dyDescent="0.15">
      <c r="A16" s="94"/>
      <c r="B16" s="80"/>
      <c r="C16" s="136"/>
      <c r="D16" s="80"/>
      <c r="E16" s="14"/>
      <c r="F16" s="14"/>
      <c r="G16" s="14"/>
      <c r="H16" s="14"/>
      <c r="I16" s="19" t="s">
        <v>185</v>
      </c>
      <c r="J16" s="30" t="s">
        <v>232</v>
      </c>
      <c r="K16" s="23" t="s">
        <v>233</v>
      </c>
      <c r="L16" s="14" t="s">
        <v>239</v>
      </c>
      <c r="M16" s="157" t="s">
        <v>185</v>
      </c>
      <c r="N16" s="14"/>
      <c r="O16" s="14"/>
      <c r="P16" s="14"/>
      <c r="Q16" s="136"/>
      <c r="R16" s="14"/>
    </row>
    <row r="17" spans="1:20" x14ac:dyDescent="0.15">
      <c r="A17" s="94"/>
      <c r="B17" s="80"/>
      <c r="C17" s="136"/>
      <c r="D17" s="80"/>
      <c r="E17" s="14"/>
      <c r="F17" s="14" t="s">
        <v>18</v>
      </c>
      <c r="G17" s="14"/>
      <c r="H17" s="14" t="s">
        <v>18</v>
      </c>
      <c r="I17" s="14"/>
      <c r="J17" s="30" t="s">
        <v>234</v>
      </c>
      <c r="K17" s="14"/>
      <c r="L17" s="14"/>
      <c r="M17" s="136"/>
      <c r="N17" s="14"/>
      <c r="O17" s="14"/>
      <c r="P17" s="14"/>
      <c r="Q17" s="136"/>
      <c r="R17" s="14"/>
    </row>
    <row r="18" spans="1:20" ht="14" thickBot="1" x14ac:dyDescent="0.2">
      <c r="A18" s="95" t="s">
        <v>18</v>
      </c>
      <c r="B18" s="82"/>
      <c r="C18" s="35"/>
      <c r="D18" s="82"/>
      <c r="E18" s="34"/>
      <c r="F18" s="34" t="s">
        <v>18</v>
      </c>
      <c r="G18" s="34"/>
      <c r="H18" s="34" t="s">
        <v>18</v>
      </c>
      <c r="I18" s="34"/>
      <c r="J18" s="197" t="s">
        <v>235</v>
      </c>
      <c r="K18" s="34" t="s">
        <v>237</v>
      </c>
      <c r="L18" s="34" t="s">
        <v>236</v>
      </c>
      <c r="M18" s="200" t="s">
        <v>185</v>
      </c>
      <c r="N18" s="14"/>
      <c r="O18" s="14"/>
      <c r="P18" s="14"/>
      <c r="Q18" s="136"/>
      <c r="R18" s="14"/>
    </row>
    <row r="19" spans="1:20" x14ac:dyDescent="0.15">
      <c r="A19" s="149"/>
      <c r="B19" s="48" t="s">
        <v>188</v>
      </c>
      <c r="C19" s="32" t="s">
        <v>188</v>
      </c>
      <c r="D19" s="166" t="s">
        <v>206</v>
      </c>
      <c r="E19" s="32" t="s">
        <v>197</v>
      </c>
      <c r="F19" s="32" t="s">
        <v>209</v>
      </c>
      <c r="G19" s="186" t="s">
        <v>226</v>
      </c>
      <c r="H19" s="187" t="s">
        <v>227</v>
      </c>
      <c r="I19" s="187" t="s">
        <v>228</v>
      </c>
      <c r="J19" s="32" t="s">
        <v>197</v>
      </c>
      <c r="K19" s="32" t="s">
        <v>209</v>
      </c>
      <c r="L19" s="188" t="s">
        <v>229</v>
      </c>
      <c r="M19" s="188" t="s">
        <v>226</v>
      </c>
      <c r="N19" s="32" t="s">
        <v>247</v>
      </c>
      <c r="O19" s="32" t="s">
        <v>209</v>
      </c>
      <c r="P19" s="32" t="s">
        <v>249</v>
      </c>
      <c r="Q19" s="151" t="s">
        <v>209</v>
      </c>
      <c r="R19" s="14"/>
    </row>
    <row r="20" spans="1:20" ht="14" thickBot="1" x14ac:dyDescent="0.2">
      <c r="A20" s="158" t="s">
        <v>225</v>
      </c>
      <c r="B20" s="89" t="s">
        <v>207</v>
      </c>
      <c r="C20" s="33" t="s">
        <v>208</v>
      </c>
      <c r="D20" s="90" t="s">
        <v>205</v>
      </c>
      <c r="E20" s="33" t="s">
        <v>240</v>
      </c>
      <c r="F20" s="33" t="s">
        <v>210</v>
      </c>
      <c r="G20" s="189" t="s">
        <v>37</v>
      </c>
      <c r="H20" s="190"/>
      <c r="I20" s="190"/>
      <c r="J20" s="33" t="s">
        <v>683</v>
      </c>
      <c r="K20" s="33" t="s">
        <v>210</v>
      </c>
      <c r="L20" s="34"/>
      <c r="M20" s="34" t="s">
        <v>37</v>
      </c>
      <c r="N20" s="33" t="s">
        <v>248</v>
      </c>
      <c r="O20" s="33" t="s">
        <v>210</v>
      </c>
      <c r="P20" s="33" t="s">
        <v>250</v>
      </c>
      <c r="Q20" s="152" t="s">
        <v>210</v>
      </c>
      <c r="R20" s="14"/>
    </row>
    <row r="21" spans="1:20" x14ac:dyDescent="0.15">
      <c r="A21" s="46" t="s">
        <v>217</v>
      </c>
      <c r="B21" s="191">
        <v>0.6694444444444444</v>
      </c>
      <c r="C21" s="192">
        <v>0.76597222222222217</v>
      </c>
      <c r="D21" s="193">
        <v>134</v>
      </c>
      <c r="E21" s="50">
        <v>164</v>
      </c>
      <c r="F21" s="78">
        <f>+E21/D21</f>
        <v>1.2238805970149254</v>
      </c>
      <c r="G21" s="50">
        <v>98</v>
      </c>
      <c r="H21" s="50">
        <v>21</v>
      </c>
      <c r="I21" s="50">
        <v>0</v>
      </c>
      <c r="J21" s="50">
        <v>35</v>
      </c>
      <c r="K21" s="78">
        <f>+J21/D21</f>
        <v>0.26119402985074625</v>
      </c>
      <c r="L21" s="50">
        <v>0</v>
      </c>
      <c r="M21" s="50">
        <v>11</v>
      </c>
      <c r="N21" s="193">
        <v>99</v>
      </c>
      <c r="O21" s="78">
        <f>+N21/D21</f>
        <v>0.73880597014925375</v>
      </c>
      <c r="P21" s="188">
        <v>248</v>
      </c>
      <c r="Q21" s="194">
        <f>+P21/D21</f>
        <v>1.8507462686567164</v>
      </c>
      <c r="R21" s="14"/>
    </row>
    <row r="22" spans="1:20" ht="14" thickBot="1" x14ac:dyDescent="0.2">
      <c r="A22" s="142" t="s">
        <v>234</v>
      </c>
      <c r="B22" s="195">
        <v>0.45902777777777781</v>
      </c>
      <c r="C22" s="173">
        <v>0.55208333333333337</v>
      </c>
      <c r="D22" s="88">
        <v>134</v>
      </c>
      <c r="E22" s="196">
        <f>33+21+21</f>
        <v>75</v>
      </c>
      <c r="F22" s="174">
        <f>+E22/D22</f>
        <v>0.55970149253731338</v>
      </c>
      <c r="G22" s="34">
        <v>37</v>
      </c>
      <c r="H22" s="34">
        <v>0</v>
      </c>
      <c r="I22" s="34">
        <v>9</v>
      </c>
      <c r="J22" s="34">
        <v>64</v>
      </c>
      <c r="K22" s="174">
        <f>+J22/D22</f>
        <v>0.47761194029850745</v>
      </c>
      <c r="L22" s="34">
        <v>40</v>
      </c>
      <c r="M22" s="34">
        <v>13</v>
      </c>
      <c r="N22" s="88">
        <v>178</v>
      </c>
      <c r="O22" s="174">
        <f>+N22/D22</f>
        <v>1.3283582089552239</v>
      </c>
      <c r="P22" s="197">
        <v>389</v>
      </c>
      <c r="Q22" s="198">
        <f>+P22/D22</f>
        <v>2.9029850746268657</v>
      </c>
      <c r="R22" s="14"/>
    </row>
    <row r="23" spans="1:20" ht="14" thickBot="1" x14ac:dyDescent="0.2">
      <c r="A23" s="42" t="s">
        <v>68</v>
      </c>
      <c r="B23" s="181"/>
      <c r="C23" s="181"/>
      <c r="D23" s="290">
        <f>SUM(D21:D22)</f>
        <v>268</v>
      </c>
      <c r="E23" s="290">
        <f>SUM(E21:E22)</f>
        <v>239</v>
      </c>
      <c r="F23" s="849">
        <f>+E23/D23</f>
        <v>0.89179104477611937</v>
      </c>
      <c r="G23" s="290">
        <f>SUM(G21:G22)</f>
        <v>135</v>
      </c>
      <c r="H23" s="290">
        <f>SUM(H21:H22)</f>
        <v>21</v>
      </c>
      <c r="I23" s="290">
        <f>SUM(I21:I22)</f>
        <v>9</v>
      </c>
      <c r="J23" s="290">
        <f>SUM(J21:J22)</f>
        <v>99</v>
      </c>
      <c r="K23" s="849">
        <f>+J23/D23</f>
        <v>0.36940298507462688</v>
      </c>
      <c r="L23" s="290">
        <f>SUM(L21:L22)</f>
        <v>40</v>
      </c>
      <c r="M23" s="290">
        <f>SUM(M21:M22)</f>
        <v>24</v>
      </c>
      <c r="N23" s="292">
        <f>SUM(N21:N22)</f>
        <v>277</v>
      </c>
      <c r="O23" s="846">
        <f>+N23/D23</f>
        <v>1.0335820895522387</v>
      </c>
      <c r="P23" s="98">
        <f>SUM(P21:P22)</f>
        <v>637</v>
      </c>
      <c r="Q23" s="845">
        <f>+P23/D23</f>
        <v>2.3768656716417911</v>
      </c>
      <c r="R23" s="14"/>
      <c r="S23" s="2" t="s">
        <v>18</v>
      </c>
      <c r="T23" t="s">
        <v>18</v>
      </c>
    </row>
    <row r="24" spans="1:20" ht="14" thickBot="1" x14ac:dyDescent="0.2">
      <c r="A24" s="375"/>
      <c r="B24" s="257"/>
      <c r="C24" s="257"/>
      <c r="D24" s="376"/>
      <c r="E24" s="376"/>
      <c r="F24" s="377"/>
      <c r="G24" s="376"/>
      <c r="H24" s="376"/>
      <c r="I24" s="376"/>
      <c r="J24" s="376"/>
      <c r="K24" s="377"/>
      <c r="L24" s="376"/>
      <c r="M24" s="376"/>
      <c r="N24" s="257"/>
      <c r="O24" s="257"/>
      <c r="P24" s="257"/>
      <c r="Q24" s="373" t="s">
        <v>18</v>
      </c>
      <c r="R24" s="14"/>
    </row>
    <row r="25" spans="1:20" x14ac:dyDescent="0.15">
      <c r="A25" s="53" t="s">
        <v>12</v>
      </c>
      <c r="B25" s="388"/>
      <c r="C25" s="188"/>
      <c r="D25" s="392"/>
      <c r="E25" s="125"/>
      <c r="F25" s="155" t="s">
        <v>169</v>
      </c>
      <c r="G25" s="155" t="s">
        <v>170</v>
      </c>
      <c r="H25" s="155" t="s">
        <v>220</v>
      </c>
      <c r="I25" s="155" t="s">
        <v>184</v>
      </c>
      <c r="J25" s="155" t="s">
        <v>169</v>
      </c>
      <c r="K25" s="155" t="s">
        <v>170</v>
      </c>
      <c r="L25" s="155" t="s">
        <v>220</v>
      </c>
      <c r="M25" s="83"/>
      <c r="N25" s="124"/>
      <c r="O25" s="138"/>
      <c r="P25" s="124"/>
      <c r="Q25" s="374"/>
      <c r="R25" s="14"/>
    </row>
    <row r="26" spans="1:20" ht="14" thickBot="1" x14ac:dyDescent="0.2">
      <c r="A26" s="74" t="s">
        <v>647</v>
      </c>
      <c r="B26" s="183" t="s">
        <v>682</v>
      </c>
      <c r="C26" s="30"/>
      <c r="D26" s="395"/>
      <c r="E26" s="127"/>
      <c r="F26" s="34"/>
      <c r="G26" s="34"/>
      <c r="H26" s="535" t="s">
        <v>172</v>
      </c>
      <c r="I26" s="34"/>
      <c r="J26" s="34"/>
      <c r="K26" s="34"/>
      <c r="L26" s="535" t="s">
        <v>172</v>
      </c>
      <c r="M26" s="165" t="s">
        <v>184</v>
      </c>
      <c r="N26" s="123"/>
      <c r="O26" s="92"/>
      <c r="P26" s="123"/>
      <c r="Q26" s="399"/>
      <c r="R26" s="14"/>
    </row>
    <row r="27" spans="1:20" x14ac:dyDescent="0.15">
      <c r="A27" s="66" t="s">
        <v>648</v>
      </c>
      <c r="B27" s="183" t="s">
        <v>215</v>
      </c>
      <c r="C27" s="389"/>
      <c r="D27" s="393"/>
      <c r="E27" s="268"/>
      <c r="F27" s="299" t="s">
        <v>458</v>
      </c>
      <c r="G27" s="239" t="s">
        <v>460</v>
      </c>
      <c r="H27" s="239" t="s">
        <v>463</v>
      </c>
      <c r="I27" s="239" t="s">
        <v>185</v>
      </c>
      <c r="J27" s="239" t="s">
        <v>459</v>
      </c>
      <c r="K27" s="299" t="s">
        <v>462</v>
      </c>
      <c r="L27" s="239" t="s">
        <v>461</v>
      </c>
      <c r="M27" s="394" t="s">
        <v>185</v>
      </c>
      <c r="N27" s="398"/>
      <c r="O27" s="92"/>
      <c r="P27" s="123"/>
      <c r="Q27" s="399"/>
      <c r="R27" s="14"/>
    </row>
    <row r="28" spans="1:20" ht="14" thickBot="1" x14ac:dyDescent="0.2">
      <c r="A28" s="95"/>
      <c r="B28" s="390"/>
      <c r="C28" s="391"/>
      <c r="D28" s="395"/>
      <c r="E28" s="127"/>
      <c r="F28" s="396" t="s">
        <v>217</v>
      </c>
      <c r="G28" s="383"/>
      <c r="H28" s="383"/>
      <c r="I28" s="383"/>
      <c r="J28" s="383" t="s">
        <v>234</v>
      </c>
      <c r="K28" s="396"/>
      <c r="L28" s="383"/>
      <c r="M28" s="397"/>
      <c r="N28" s="400"/>
      <c r="O28" s="284"/>
      <c r="P28" s="126"/>
      <c r="Q28" s="401"/>
      <c r="R28" s="14"/>
    </row>
    <row r="29" spans="1:20" x14ac:dyDescent="0.15">
      <c r="A29" s="378"/>
      <c r="B29" s="48" t="s">
        <v>188</v>
      </c>
      <c r="C29" s="32" t="s">
        <v>188</v>
      </c>
      <c r="D29" s="32" t="s">
        <v>206</v>
      </c>
      <c r="E29" s="32" t="s">
        <v>197</v>
      </c>
      <c r="F29" s="32" t="s">
        <v>209</v>
      </c>
      <c r="G29" s="186" t="s">
        <v>226</v>
      </c>
      <c r="H29" s="187" t="s">
        <v>227</v>
      </c>
      <c r="I29" s="187" t="s">
        <v>228</v>
      </c>
      <c r="J29" s="32" t="s">
        <v>197</v>
      </c>
      <c r="K29" s="32" t="s">
        <v>209</v>
      </c>
      <c r="L29" s="188" t="s">
        <v>229</v>
      </c>
      <c r="M29" s="188" t="s">
        <v>226</v>
      </c>
      <c r="N29" s="32" t="s">
        <v>247</v>
      </c>
      <c r="O29" s="32" t="s">
        <v>209</v>
      </c>
      <c r="P29" s="32" t="s">
        <v>249</v>
      </c>
      <c r="Q29" s="151" t="s">
        <v>209</v>
      </c>
      <c r="R29" s="14"/>
    </row>
    <row r="30" spans="1:20" ht="14" thickBot="1" x14ac:dyDescent="0.2">
      <c r="A30" s="379" t="s">
        <v>225</v>
      </c>
      <c r="B30" s="107" t="s">
        <v>207</v>
      </c>
      <c r="C30" s="13" t="s">
        <v>208</v>
      </c>
      <c r="D30" s="13" t="s">
        <v>205</v>
      </c>
      <c r="E30" s="13" t="s">
        <v>240</v>
      </c>
      <c r="F30" s="13" t="s">
        <v>210</v>
      </c>
      <c r="G30" s="185" t="s">
        <v>37</v>
      </c>
      <c r="H30" s="15"/>
      <c r="I30" s="15"/>
      <c r="J30" s="13" t="s">
        <v>683</v>
      </c>
      <c r="K30" s="13" t="s">
        <v>210</v>
      </c>
      <c r="L30" s="14"/>
      <c r="M30" s="14" t="s">
        <v>37</v>
      </c>
      <c r="N30" s="13" t="s">
        <v>248</v>
      </c>
      <c r="O30" s="13" t="s">
        <v>210</v>
      </c>
      <c r="P30" s="13" t="s">
        <v>250</v>
      </c>
      <c r="Q30" s="207" t="s">
        <v>210</v>
      </c>
      <c r="R30" s="14"/>
    </row>
    <row r="31" spans="1:20" x14ac:dyDescent="0.15">
      <c r="A31" s="380" t="s">
        <v>217</v>
      </c>
      <c r="B31" s="384">
        <v>0.66666666666666663</v>
      </c>
      <c r="C31" s="385">
        <v>0.74861111111111101</v>
      </c>
      <c r="D31" s="263">
        <v>118</v>
      </c>
      <c r="E31" s="263">
        <v>17</v>
      </c>
      <c r="F31" s="78">
        <f>+E31/D31</f>
        <v>0.1440677966101695</v>
      </c>
      <c r="G31" s="267">
        <v>4</v>
      </c>
      <c r="H31" s="263">
        <v>1</v>
      </c>
      <c r="I31" s="263">
        <v>0</v>
      </c>
      <c r="J31" s="263">
        <v>35</v>
      </c>
      <c r="K31" s="78">
        <f>+J31/D31</f>
        <v>0.29661016949152541</v>
      </c>
      <c r="L31" s="50">
        <v>25</v>
      </c>
      <c r="M31" s="50">
        <v>8</v>
      </c>
      <c r="N31" s="402">
        <v>18</v>
      </c>
      <c r="O31" s="78">
        <f>+N31/D31</f>
        <v>0.15254237288135594</v>
      </c>
      <c r="P31" s="263">
        <v>38</v>
      </c>
      <c r="Q31" s="194">
        <f>+P31/D31</f>
        <v>0.32203389830508472</v>
      </c>
      <c r="R31" s="14"/>
    </row>
    <row r="32" spans="1:20" ht="14" thickBot="1" x14ac:dyDescent="0.2">
      <c r="A32" s="381" t="s">
        <v>234</v>
      </c>
      <c r="B32" s="386">
        <v>0.45833333333333331</v>
      </c>
      <c r="C32" s="387">
        <v>0.55069444444444449</v>
      </c>
      <c r="D32" s="383">
        <v>133</v>
      </c>
      <c r="E32" s="127">
        <v>26</v>
      </c>
      <c r="F32" s="174">
        <f>+E32/D32</f>
        <v>0.19548872180451127</v>
      </c>
      <c r="G32" s="383">
        <v>4</v>
      </c>
      <c r="H32" s="383">
        <v>1</v>
      </c>
      <c r="I32" s="383">
        <v>3</v>
      </c>
      <c r="J32" s="383">
        <v>118</v>
      </c>
      <c r="K32" s="174">
        <f>+J32/D32</f>
        <v>0.88721804511278191</v>
      </c>
      <c r="L32" s="383">
        <v>99</v>
      </c>
      <c r="M32" s="383">
        <v>13</v>
      </c>
      <c r="N32" s="403">
        <v>45</v>
      </c>
      <c r="O32" s="174">
        <f>+N32/D32</f>
        <v>0.33834586466165412</v>
      </c>
      <c r="P32" s="313">
        <v>94</v>
      </c>
      <c r="Q32" s="198">
        <f>+P32/D32</f>
        <v>0.70676691729323304</v>
      </c>
      <c r="R32" s="14"/>
      <c r="S32" s="2" t="s">
        <v>18</v>
      </c>
    </row>
    <row r="33" spans="1:18" ht="14" thickBot="1" x14ac:dyDescent="0.2">
      <c r="A33" s="42" t="s">
        <v>68</v>
      </c>
      <c r="B33" s="181"/>
      <c r="C33" s="382" t="s">
        <v>18</v>
      </c>
      <c r="D33" s="290">
        <f>SUM(D31:D32)</f>
        <v>251</v>
      </c>
      <c r="E33" s="290">
        <f>SUM(E31:E32)</f>
        <v>43</v>
      </c>
      <c r="F33" s="849">
        <f>+E33/D33</f>
        <v>0.17131474103585656</v>
      </c>
      <c r="G33" s="290">
        <f>SUM(G31:G32)</f>
        <v>8</v>
      </c>
      <c r="H33" s="290">
        <f>SUM(H31:H32)</f>
        <v>2</v>
      </c>
      <c r="I33" s="290">
        <f>SUM(I31:I32)</f>
        <v>3</v>
      </c>
      <c r="J33" s="290">
        <f>SUM(J31:J32)</f>
        <v>153</v>
      </c>
      <c r="K33" s="849">
        <f>+J33/D33</f>
        <v>0.60956175298804782</v>
      </c>
      <c r="L33" s="290">
        <f>SUM(L31:L32)</f>
        <v>124</v>
      </c>
      <c r="M33" s="290">
        <f>SUM(M31:M32)</f>
        <v>21</v>
      </c>
      <c r="N33" s="98">
        <f>SUM(N31:N32)</f>
        <v>63</v>
      </c>
      <c r="O33" s="846">
        <f>+N33/D33</f>
        <v>0.25099601593625498</v>
      </c>
      <c r="P33" s="98">
        <f>SUM(P31:P32)</f>
        <v>132</v>
      </c>
      <c r="Q33" s="845">
        <f>+P33/D33</f>
        <v>0.52589641434262946</v>
      </c>
      <c r="R33" s="14"/>
    </row>
    <row r="34" spans="1:18" ht="14" thickBot="1" x14ac:dyDescent="0.2">
      <c r="A34" s="372"/>
      <c r="B34" s="257"/>
      <c r="C34" s="257" t="s">
        <v>18</v>
      </c>
      <c r="D34" s="257"/>
      <c r="E34" s="257"/>
      <c r="F34" s="257" t="s">
        <v>18</v>
      </c>
      <c r="G34" s="257" t="s">
        <v>18</v>
      </c>
      <c r="H34" s="257"/>
      <c r="I34" s="257"/>
      <c r="J34" s="257"/>
      <c r="K34" s="257"/>
      <c r="L34" s="257"/>
      <c r="M34" s="257"/>
      <c r="N34" s="257"/>
      <c r="O34" s="257"/>
      <c r="P34" s="257"/>
      <c r="Q34" s="373"/>
      <c r="R34" s="14"/>
    </row>
    <row r="35" spans="1:18" x14ac:dyDescent="0.15">
      <c r="A35" s="167" t="s">
        <v>12</v>
      </c>
      <c r="B35" s="183" t="s">
        <v>682</v>
      </c>
      <c r="C35" s="157"/>
      <c r="D35" s="153"/>
      <c r="E35" s="154" t="s">
        <v>18</v>
      </c>
      <c r="F35" s="155" t="s">
        <v>169</v>
      </c>
      <c r="G35" s="155" t="s">
        <v>170</v>
      </c>
      <c r="H35" s="155" t="s">
        <v>220</v>
      </c>
      <c r="I35" s="155" t="s">
        <v>184</v>
      </c>
      <c r="J35" s="155" t="s">
        <v>169</v>
      </c>
      <c r="K35" s="155" t="s">
        <v>170</v>
      </c>
      <c r="L35" s="155" t="s">
        <v>220</v>
      </c>
      <c r="M35" s="205" t="s">
        <v>184</v>
      </c>
      <c r="N35" s="87"/>
      <c r="O35" s="50"/>
      <c r="P35" s="50"/>
      <c r="Q35" s="83"/>
    </row>
    <row r="36" spans="1:18" ht="14" thickBot="1" x14ac:dyDescent="0.2">
      <c r="A36" s="202" t="s">
        <v>650</v>
      </c>
      <c r="B36" s="183" t="s">
        <v>215</v>
      </c>
      <c r="C36" s="184"/>
      <c r="D36" s="204"/>
      <c r="E36" s="222"/>
      <c r="F36" s="34"/>
      <c r="G36" s="34"/>
      <c r="H36" s="535" t="s">
        <v>172</v>
      </c>
      <c r="I36" s="34"/>
      <c r="J36" s="34"/>
      <c r="K36" s="34"/>
      <c r="L36" s="535" t="s">
        <v>172</v>
      </c>
      <c r="M36" s="35"/>
      <c r="N36" s="80"/>
      <c r="O36" s="14"/>
      <c r="P36" s="14"/>
      <c r="Q36" s="136"/>
    </row>
    <row r="37" spans="1:18" ht="14" thickBot="1" x14ac:dyDescent="0.2">
      <c r="A37" s="532" t="s">
        <v>651</v>
      </c>
      <c r="B37" s="183"/>
      <c r="C37" s="184"/>
      <c r="D37" s="183"/>
      <c r="E37" s="21"/>
      <c r="F37" s="64" t="s">
        <v>356</v>
      </c>
      <c r="G37" s="235" t="s">
        <v>191</v>
      </c>
      <c r="H37" s="235" t="s">
        <v>365</v>
      </c>
      <c r="I37" s="19" t="s">
        <v>185</v>
      </c>
      <c r="J37" s="251" t="s">
        <v>356</v>
      </c>
      <c r="K37" s="235" t="s">
        <v>191</v>
      </c>
      <c r="L37" s="235" t="s">
        <v>363</v>
      </c>
      <c r="M37" s="19" t="s">
        <v>185</v>
      </c>
      <c r="N37" s="91" t="s">
        <v>18</v>
      </c>
      <c r="O37" s="14"/>
      <c r="P37" s="14"/>
      <c r="Q37" s="136"/>
    </row>
    <row r="38" spans="1:18" x14ac:dyDescent="0.15">
      <c r="A38" s="202"/>
      <c r="B38" s="183"/>
      <c r="C38" s="184"/>
      <c r="D38" s="183"/>
      <c r="E38" s="21"/>
      <c r="F38" s="64" t="s">
        <v>217</v>
      </c>
      <c r="G38" s="23"/>
      <c r="H38" s="26"/>
      <c r="I38" s="230" t="s">
        <v>18</v>
      </c>
      <c r="J38" s="64" t="s">
        <v>362</v>
      </c>
      <c r="K38" s="235" t="s">
        <v>191</v>
      </c>
      <c r="L38" s="235" t="s">
        <v>364</v>
      </c>
      <c r="M38" s="230" t="s">
        <v>185</v>
      </c>
      <c r="N38" s="91"/>
      <c r="O38" s="14"/>
      <c r="P38" s="14"/>
      <c r="Q38" s="136"/>
    </row>
    <row r="39" spans="1:18" ht="14" thickBot="1" x14ac:dyDescent="0.2">
      <c r="B39" s="183"/>
      <c r="C39" s="157"/>
      <c r="D39" s="182"/>
      <c r="E39" s="19"/>
      <c r="F39" s="230" t="s">
        <v>18</v>
      </c>
      <c r="G39" s="23" t="s">
        <v>18</v>
      </c>
      <c r="I39" s="19" t="s">
        <v>18</v>
      </c>
      <c r="J39" s="64" t="s">
        <v>234</v>
      </c>
      <c r="K39" s="230" t="s">
        <v>18</v>
      </c>
      <c r="L39" s="230" t="s">
        <v>18</v>
      </c>
      <c r="M39" s="19"/>
      <c r="N39" s="82"/>
      <c r="O39" s="34"/>
      <c r="P39" s="34"/>
      <c r="Q39" s="35"/>
    </row>
    <row r="40" spans="1:18" x14ac:dyDescent="0.15">
      <c r="A40" s="145"/>
      <c r="B40" s="48" t="s">
        <v>188</v>
      </c>
      <c r="C40" s="32" t="s">
        <v>188</v>
      </c>
      <c r="D40" s="166" t="s">
        <v>206</v>
      </c>
      <c r="E40" s="32" t="s">
        <v>197</v>
      </c>
      <c r="F40" s="32" t="s">
        <v>209</v>
      </c>
      <c r="G40" s="186" t="s">
        <v>226</v>
      </c>
      <c r="H40" s="187" t="s">
        <v>227</v>
      </c>
      <c r="I40" s="187" t="s">
        <v>228</v>
      </c>
      <c r="J40" s="32" t="s">
        <v>197</v>
      </c>
      <c r="K40" s="32" t="s">
        <v>209</v>
      </c>
      <c r="L40" s="188" t="s">
        <v>229</v>
      </c>
      <c r="M40" s="188" t="s">
        <v>226</v>
      </c>
      <c r="N40" s="166" t="s">
        <v>247</v>
      </c>
      <c r="O40" s="32" t="s">
        <v>209</v>
      </c>
      <c r="P40" s="252" t="s">
        <v>249</v>
      </c>
      <c r="Q40" s="151" t="s">
        <v>209</v>
      </c>
    </row>
    <row r="41" spans="1:18" ht="14" thickBot="1" x14ac:dyDescent="0.2">
      <c r="A41" s="59" t="s">
        <v>225</v>
      </c>
      <c r="B41" s="89" t="s">
        <v>207</v>
      </c>
      <c r="C41" s="33" t="s">
        <v>208</v>
      </c>
      <c r="D41" s="90" t="s">
        <v>205</v>
      </c>
      <c r="E41" s="33" t="s">
        <v>240</v>
      </c>
      <c r="F41" s="33" t="s">
        <v>210</v>
      </c>
      <c r="G41" s="189" t="s">
        <v>37</v>
      </c>
      <c r="H41" s="190"/>
      <c r="I41" s="190"/>
      <c r="J41" s="33" t="s">
        <v>683</v>
      </c>
      <c r="K41" s="33" t="s">
        <v>210</v>
      </c>
      <c r="L41" s="34"/>
      <c r="M41" s="34" t="s">
        <v>37</v>
      </c>
      <c r="N41" s="90" t="s">
        <v>248</v>
      </c>
      <c r="O41" s="33" t="s">
        <v>210</v>
      </c>
      <c r="P41" s="253" t="s">
        <v>250</v>
      </c>
      <c r="Q41" s="152" t="s">
        <v>210</v>
      </c>
    </row>
    <row r="42" spans="1:18" x14ac:dyDescent="0.15">
      <c r="A42" s="46" t="s">
        <v>217</v>
      </c>
      <c r="B42" s="255">
        <v>0.6694444444444444</v>
      </c>
      <c r="C42" s="404">
        <v>0.74652777777777779</v>
      </c>
      <c r="D42" s="402">
        <v>111</v>
      </c>
      <c r="E42" s="14">
        <v>14</v>
      </c>
      <c r="F42" s="38">
        <f>+E42/D42</f>
        <v>0.12612612612612611</v>
      </c>
      <c r="G42" s="14">
        <v>0</v>
      </c>
      <c r="H42" s="30">
        <v>0</v>
      </c>
      <c r="I42" s="30">
        <v>0</v>
      </c>
      <c r="J42" s="30">
        <v>19</v>
      </c>
      <c r="K42" s="38">
        <f>+J42/D42</f>
        <v>0.17117117117117117</v>
      </c>
      <c r="L42" s="30">
        <v>9</v>
      </c>
      <c r="M42" s="30">
        <v>1</v>
      </c>
      <c r="N42" s="41">
        <v>23</v>
      </c>
      <c r="O42" s="38">
        <f>+N42/D42</f>
        <v>0.2072072072072072</v>
      </c>
      <c r="P42" s="30">
        <v>54</v>
      </c>
      <c r="Q42" s="172">
        <f>+P42/D42</f>
        <v>0.48648648648648651</v>
      </c>
    </row>
    <row r="43" spans="1:18" ht="14" thickBot="1" x14ac:dyDescent="0.2">
      <c r="A43" s="47" t="s">
        <v>234</v>
      </c>
      <c r="B43" s="256">
        <v>0.45833333333333331</v>
      </c>
      <c r="C43" s="405">
        <v>0.54861111111111105</v>
      </c>
      <c r="D43" s="403">
        <v>152</v>
      </c>
      <c r="E43" s="14">
        <v>24</v>
      </c>
      <c r="F43" s="174">
        <f>+E43/D43</f>
        <v>0.15789473684210525</v>
      </c>
      <c r="G43" s="14">
        <v>0</v>
      </c>
      <c r="H43" s="30">
        <v>0</v>
      </c>
      <c r="I43" s="30">
        <v>0</v>
      </c>
      <c r="J43" s="14">
        <v>20</v>
      </c>
      <c r="K43" s="174">
        <f>+J43/D43</f>
        <v>0.13157894736842105</v>
      </c>
      <c r="L43" s="14">
        <v>10</v>
      </c>
      <c r="M43" s="14">
        <v>0</v>
      </c>
      <c r="N43" s="72">
        <v>60</v>
      </c>
      <c r="O43" s="174">
        <f>+N43/D43</f>
        <v>0.39473684210526316</v>
      </c>
      <c r="P43" s="30">
        <v>127</v>
      </c>
      <c r="Q43" s="198">
        <f>+P43/D43</f>
        <v>0.83552631578947367</v>
      </c>
    </row>
    <row r="44" spans="1:18" ht="14" thickBot="1" x14ac:dyDescent="0.2">
      <c r="A44" s="42" t="s">
        <v>68</v>
      </c>
      <c r="B44" s="44"/>
      <c r="C44" s="34"/>
      <c r="D44" s="98">
        <f>SUM(D42:D43)</f>
        <v>263</v>
      </c>
      <c r="E44" s="98">
        <f>SUM(E42:E43)</f>
        <v>38</v>
      </c>
      <c r="F44" s="846">
        <f>+E44/D44</f>
        <v>0.14448669201520911</v>
      </c>
      <c r="G44" s="98">
        <f>SUM(G42:G43)</f>
        <v>0</v>
      </c>
      <c r="H44" s="98">
        <f>SUM(H42:H43)</f>
        <v>0</v>
      </c>
      <c r="I44" s="98">
        <f>SUM(I42:I43)</f>
        <v>0</v>
      </c>
      <c r="J44" s="98">
        <f>SUM(J42:J43)</f>
        <v>39</v>
      </c>
      <c r="K44" s="846">
        <f>+J44/D44</f>
        <v>0.14828897338403041</v>
      </c>
      <c r="L44" s="98">
        <f>SUM(L42:L43)</f>
        <v>19</v>
      </c>
      <c r="M44" s="98">
        <f>SUM(M42:M43)</f>
        <v>1</v>
      </c>
      <c r="N44" s="292">
        <f>SUM(N42:N43)</f>
        <v>83</v>
      </c>
      <c r="O44" s="846">
        <f>+N44/D44</f>
        <v>0.31558935361216728</v>
      </c>
      <c r="P44" s="98">
        <f>SUM(P42:P43)</f>
        <v>181</v>
      </c>
      <c r="Q44" s="845">
        <f>+P44/D44</f>
        <v>0.68821292775665399</v>
      </c>
    </row>
    <row r="45" spans="1:18" ht="14" thickBot="1" x14ac:dyDescent="0.2">
      <c r="A45" s="406" t="s">
        <v>18</v>
      </c>
      <c r="B45" s="257"/>
      <c r="C45" s="257" t="s">
        <v>18</v>
      </c>
      <c r="D45" s="257"/>
      <c r="E45" s="257"/>
      <c r="F45" s="257" t="s">
        <v>18</v>
      </c>
      <c r="G45" s="257" t="s">
        <v>18</v>
      </c>
      <c r="H45" s="257"/>
      <c r="I45" s="257"/>
      <c r="J45" s="257"/>
      <c r="K45" s="257"/>
      <c r="L45" s="257"/>
      <c r="M45" s="257"/>
      <c r="N45" s="257"/>
      <c r="O45" s="257"/>
      <c r="P45" s="257"/>
      <c r="Q45" s="373"/>
    </row>
    <row r="46" spans="1:18" x14ac:dyDescent="0.15">
      <c r="A46" s="53" t="s">
        <v>12</v>
      </c>
      <c r="B46" s="418" t="s">
        <v>682</v>
      </c>
      <c r="C46" s="203"/>
      <c r="D46" s="153"/>
      <c r="E46" s="154" t="s">
        <v>18</v>
      </c>
      <c r="F46" s="155" t="s">
        <v>169</v>
      </c>
      <c r="G46" s="155" t="s">
        <v>170</v>
      </c>
      <c r="H46" s="155" t="s">
        <v>220</v>
      </c>
      <c r="I46" s="155" t="s">
        <v>184</v>
      </c>
      <c r="J46" s="155" t="s">
        <v>169</v>
      </c>
      <c r="K46" s="155" t="s">
        <v>170</v>
      </c>
      <c r="L46" s="155" t="s">
        <v>220</v>
      </c>
      <c r="M46" s="205" t="s">
        <v>184</v>
      </c>
      <c r="N46" s="87"/>
      <c r="O46" s="50"/>
      <c r="P46" s="50"/>
      <c r="Q46" s="83"/>
    </row>
    <row r="47" spans="1:18" ht="14" thickBot="1" x14ac:dyDescent="0.2">
      <c r="A47" s="537" t="s">
        <v>640</v>
      </c>
      <c r="B47" s="183" t="s">
        <v>215</v>
      </c>
      <c r="C47" s="184"/>
      <c r="D47" s="204"/>
      <c r="E47" s="222"/>
      <c r="F47" s="34"/>
      <c r="G47" s="34"/>
      <c r="H47" s="535" t="s">
        <v>172</v>
      </c>
      <c r="I47" s="34"/>
      <c r="J47" s="34"/>
      <c r="K47" s="34"/>
      <c r="L47" s="535" t="s">
        <v>172</v>
      </c>
      <c r="M47" s="35"/>
      <c r="N47" s="80"/>
      <c r="O47" s="64" t="s">
        <v>18</v>
      </c>
      <c r="P47" s="14"/>
      <c r="Q47" s="136"/>
    </row>
    <row r="48" spans="1:18" x14ac:dyDescent="0.15">
      <c r="A48" s="538" t="s">
        <v>18</v>
      </c>
      <c r="B48" s="21"/>
      <c r="C48" s="184"/>
      <c r="D48" s="183"/>
      <c r="E48" s="21"/>
      <c r="F48" s="64" t="s">
        <v>465</v>
      </c>
      <c r="G48" s="235" t="s">
        <v>219</v>
      </c>
      <c r="H48" s="235" t="s">
        <v>466</v>
      </c>
      <c r="I48" s="230" t="s">
        <v>185</v>
      </c>
      <c r="J48" s="251" t="s">
        <v>464</v>
      </c>
      <c r="K48" s="235" t="s">
        <v>219</v>
      </c>
      <c r="L48" s="235" t="s">
        <v>467</v>
      </c>
      <c r="M48" s="230" t="s">
        <v>185</v>
      </c>
      <c r="N48" s="91" t="s">
        <v>18</v>
      </c>
      <c r="O48" s="64" t="s">
        <v>18</v>
      </c>
      <c r="P48" s="14"/>
      <c r="Q48" s="136"/>
    </row>
    <row r="49" spans="1:18" x14ac:dyDescent="0.15">
      <c r="A49" s="74"/>
      <c r="B49" s="21"/>
      <c r="C49" s="184"/>
      <c r="D49" s="183"/>
      <c r="E49" s="21"/>
      <c r="F49" s="64" t="s">
        <v>217</v>
      </c>
      <c r="G49" s="23"/>
      <c r="H49" s="26"/>
      <c r="I49" s="230"/>
      <c r="J49" s="64" t="s">
        <v>234</v>
      </c>
      <c r="K49" s="235"/>
      <c r="L49" s="235"/>
      <c r="M49" s="230"/>
      <c r="N49" s="91"/>
      <c r="O49" s="64" t="s">
        <v>18</v>
      </c>
      <c r="P49" s="14"/>
      <c r="Q49" s="233" t="s">
        <v>18</v>
      </c>
    </row>
    <row r="50" spans="1:18" ht="14" thickBot="1" x14ac:dyDescent="0.2">
      <c r="A50" s="95"/>
      <c r="B50" s="21"/>
      <c r="C50" s="157"/>
      <c r="D50" s="182"/>
      <c r="E50" s="19"/>
      <c r="F50" s="19"/>
      <c r="G50" s="23"/>
      <c r="H50" s="14"/>
      <c r="I50" s="19"/>
      <c r="J50" s="14"/>
      <c r="K50" s="230"/>
      <c r="L50" s="230"/>
      <c r="M50" s="19"/>
      <c r="N50" s="82"/>
      <c r="O50" s="34"/>
      <c r="P50" s="34"/>
      <c r="Q50" s="35"/>
    </row>
    <row r="51" spans="1:18" x14ac:dyDescent="0.15">
      <c r="A51" s="145"/>
      <c r="B51" s="48" t="s">
        <v>188</v>
      </c>
      <c r="C51" s="32" t="s">
        <v>188</v>
      </c>
      <c r="D51" s="166" t="s">
        <v>206</v>
      </c>
      <c r="E51" s="32" t="s">
        <v>197</v>
      </c>
      <c r="F51" s="32" t="s">
        <v>209</v>
      </c>
      <c r="G51" s="186" t="s">
        <v>226</v>
      </c>
      <c r="H51" s="187" t="s">
        <v>227</v>
      </c>
      <c r="I51" s="187" t="s">
        <v>228</v>
      </c>
      <c r="J51" s="32" t="s">
        <v>197</v>
      </c>
      <c r="K51" s="32" t="s">
        <v>209</v>
      </c>
      <c r="L51" s="188" t="s">
        <v>229</v>
      </c>
      <c r="M51" s="188" t="s">
        <v>226</v>
      </c>
      <c r="N51" s="166" t="s">
        <v>247</v>
      </c>
      <c r="O51" s="32" t="s">
        <v>209</v>
      </c>
      <c r="P51" s="252" t="s">
        <v>249</v>
      </c>
      <c r="Q51" s="151" t="s">
        <v>209</v>
      </c>
    </row>
    <row r="52" spans="1:18" ht="14" thickBot="1" x14ac:dyDescent="0.2">
      <c r="A52" s="59" t="s">
        <v>225</v>
      </c>
      <c r="B52" s="89" t="s">
        <v>207</v>
      </c>
      <c r="C52" s="33" t="s">
        <v>208</v>
      </c>
      <c r="D52" s="90" t="s">
        <v>205</v>
      </c>
      <c r="E52" s="33" t="s">
        <v>240</v>
      </c>
      <c r="F52" s="33" t="s">
        <v>210</v>
      </c>
      <c r="G52" s="189" t="s">
        <v>37</v>
      </c>
      <c r="H52" s="190"/>
      <c r="I52" s="190"/>
      <c r="J52" s="33" t="s">
        <v>683</v>
      </c>
      <c r="K52" s="33" t="s">
        <v>210</v>
      </c>
      <c r="L52" s="34"/>
      <c r="M52" s="34" t="s">
        <v>37</v>
      </c>
      <c r="N52" s="90" t="s">
        <v>248</v>
      </c>
      <c r="O52" s="33" t="s">
        <v>210</v>
      </c>
      <c r="P52" s="253" t="s">
        <v>250</v>
      </c>
      <c r="Q52" s="152" t="s">
        <v>210</v>
      </c>
    </row>
    <row r="53" spans="1:18" x14ac:dyDescent="0.15">
      <c r="A53" s="46" t="s">
        <v>217</v>
      </c>
      <c r="B53" s="255">
        <v>0.66666666666666663</v>
      </c>
      <c r="C53" s="412">
        <v>0.75486111111111109</v>
      </c>
      <c r="D53" s="77">
        <v>127</v>
      </c>
      <c r="E53" s="50"/>
      <c r="F53" s="78"/>
      <c r="G53" s="50"/>
      <c r="H53" s="188"/>
      <c r="I53" s="267" t="s">
        <v>18</v>
      </c>
      <c r="J53" s="188"/>
      <c r="K53" s="131" t="s">
        <v>18</v>
      </c>
      <c r="L53" s="188"/>
      <c r="M53" s="188"/>
      <c r="N53" s="193">
        <v>124</v>
      </c>
      <c r="O53" s="78">
        <f>+N53/D53</f>
        <v>0.97637795275590555</v>
      </c>
      <c r="P53" s="188">
        <v>291</v>
      </c>
      <c r="Q53" s="194">
        <f>+P53/D53</f>
        <v>2.2913385826771653</v>
      </c>
    </row>
    <row r="54" spans="1:18" x14ac:dyDescent="0.15">
      <c r="A54" s="142"/>
      <c r="B54" s="407">
        <v>0.66666666666666663</v>
      </c>
      <c r="C54" s="413">
        <v>0.74305555555555547</v>
      </c>
      <c r="D54" s="91">
        <v>110</v>
      </c>
      <c r="E54" s="14">
        <v>74</v>
      </c>
      <c r="F54" s="38">
        <f>+E54/D54</f>
        <v>0.67272727272727273</v>
      </c>
      <c r="G54" s="64" t="s">
        <v>18</v>
      </c>
      <c r="H54" s="30"/>
      <c r="I54" s="30"/>
      <c r="J54" s="30">
        <v>195</v>
      </c>
      <c r="K54" s="38">
        <f>+J54/D54</f>
        <v>1.7727272727272727</v>
      </c>
      <c r="L54" s="30">
        <v>37</v>
      </c>
      <c r="M54" s="239" t="s">
        <v>18</v>
      </c>
      <c r="N54" s="41"/>
      <c r="O54" s="38"/>
      <c r="P54" s="30"/>
      <c r="Q54" s="172"/>
    </row>
    <row r="55" spans="1:18" x14ac:dyDescent="0.15">
      <c r="A55" s="142" t="s">
        <v>234</v>
      </c>
      <c r="B55" s="409">
        <v>0.45833333333333331</v>
      </c>
      <c r="C55" s="414">
        <v>0.54999999999999993</v>
      </c>
      <c r="D55" s="91">
        <v>132</v>
      </c>
      <c r="E55" s="14">
        <v>96</v>
      </c>
      <c r="F55" s="38">
        <f>+E55/D55</f>
        <v>0.72727272727272729</v>
      </c>
      <c r="G55" s="64" t="s">
        <v>18</v>
      </c>
      <c r="H55" s="239">
        <v>57</v>
      </c>
      <c r="I55" s="30"/>
      <c r="J55" s="14">
        <v>625</v>
      </c>
      <c r="K55" s="38">
        <f>+J55/D55</f>
        <v>4.7348484848484844</v>
      </c>
      <c r="L55" s="14">
        <v>35</v>
      </c>
      <c r="M55" s="14"/>
      <c r="N55" s="41">
        <v>227</v>
      </c>
      <c r="O55" s="38">
        <f>+N55/D55</f>
        <v>1.7196969696969697</v>
      </c>
      <c r="P55" s="30">
        <v>529</v>
      </c>
      <c r="Q55" s="172">
        <f>+P55/D55</f>
        <v>4.0075757575757578</v>
      </c>
    </row>
    <row r="56" spans="1:18" x14ac:dyDescent="0.15">
      <c r="A56" s="142" t="s">
        <v>234</v>
      </c>
      <c r="B56" s="409">
        <v>0.45833333333333331</v>
      </c>
      <c r="C56" s="414">
        <v>0.53472222222222221</v>
      </c>
      <c r="D56" s="91">
        <v>110</v>
      </c>
      <c r="E56" s="14">
        <v>54</v>
      </c>
      <c r="F56" s="38">
        <f>+E56/D56</f>
        <v>0.49090909090909091</v>
      </c>
      <c r="G56" s="64" t="s">
        <v>18</v>
      </c>
      <c r="H56" s="30"/>
      <c r="I56" s="30"/>
      <c r="J56" s="14">
        <v>478</v>
      </c>
      <c r="K56" s="38">
        <f>+J56/D56</f>
        <v>4.3454545454545457</v>
      </c>
      <c r="L56" s="14">
        <v>20</v>
      </c>
      <c r="M56" s="14"/>
      <c r="N56" s="72"/>
      <c r="O56" s="38"/>
      <c r="P56" s="30"/>
      <c r="Q56" s="172"/>
    </row>
    <row r="57" spans="1:18" ht="14" thickBot="1" x14ac:dyDescent="0.2">
      <c r="A57" s="142" t="s">
        <v>654</v>
      </c>
      <c r="B57" s="256"/>
      <c r="C57" s="415"/>
      <c r="D57" s="417">
        <f>SUM(D55:D56)</f>
        <v>242</v>
      </c>
      <c r="E57" s="34">
        <f>SUM(E55:E56)</f>
        <v>150</v>
      </c>
      <c r="F57" s="174">
        <f>+E57/D57</f>
        <v>0.6198347107438017</v>
      </c>
      <c r="G57" s="313"/>
      <c r="H57" s="197"/>
      <c r="I57" s="383" t="s">
        <v>18</v>
      </c>
      <c r="J57" s="34">
        <f>SUM(J55:J56)</f>
        <v>1103</v>
      </c>
      <c r="K57" s="174">
        <f>+J57/D57</f>
        <v>4.5578512396694215</v>
      </c>
      <c r="L57" s="34">
        <f>SUM(L55:L56)</f>
        <v>55</v>
      </c>
      <c r="M57" s="34"/>
      <c r="N57" s="416"/>
      <c r="O57" s="174"/>
      <c r="P57" s="197"/>
      <c r="Q57" s="198"/>
    </row>
    <row r="58" spans="1:18" ht="14" thickBot="1" x14ac:dyDescent="0.2">
      <c r="A58" s="42" t="s">
        <v>68</v>
      </c>
      <c r="B58" s="44"/>
      <c r="C58" s="44"/>
      <c r="D58" s="98">
        <f>SUM(D54:D56)</f>
        <v>352</v>
      </c>
      <c r="E58" s="536">
        <f>+SUM(E54:E56)</f>
        <v>224</v>
      </c>
      <c r="F58" s="846">
        <f>+E58/D58</f>
        <v>0.63636363636363635</v>
      </c>
      <c r="G58" s="98" t="s">
        <v>18</v>
      </c>
      <c r="H58" s="98">
        <f>SUM(H53:H56)</f>
        <v>57</v>
      </c>
      <c r="I58" s="98" t="s">
        <v>18</v>
      </c>
      <c r="J58" s="98">
        <f>SUM(J53:J56)</f>
        <v>1298</v>
      </c>
      <c r="K58" s="846">
        <f>+J58/D58</f>
        <v>3.6875</v>
      </c>
      <c r="L58" s="98">
        <f>SUM(L53:L56)</f>
        <v>92</v>
      </c>
      <c r="M58" s="98" t="s">
        <v>18</v>
      </c>
      <c r="N58" s="292">
        <f>SUM(N53:N56)</f>
        <v>351</v>
      </c>
      <c r="O58" s="846">
        <f>+SUM(N58)/(D53+D55)</f>
        <v>1.3552123552123552</v>
      </c>
      <c r="P58" s="98">
        <f>SUM(P53:P56)</f>
        <v>820</v>
      </c>
      <c r="Q58" s="845">
        <f>+SUM(P58)/(D53+D55)</f>
        <v>3.1660231660231659</v>
      </c>
    </row>
    <row r="59" spans="1:18" ht="14" thickBot="1" x14ac:dyDescent="0.2">
      <c r="A59" s="406" t="s">
        <v>18</v>
      </c>
      <c r="B59" s="257"/>
      <c r="C59" s="257" t="s">
        <v>18</v>
      </c>
      <c r="D59" s="257"/>
      <c r="E59" s="257"/>
      <c r="F59" s="257" t="s">
        <v>18</v>
      </c>
      <c r="G59" s="257" t="s">
        <v>18</v>
      </c>
      <c r="H59" s="257"/>
      <c r="I59" s="257"/>
      <c r="J59" s="257"/>
      <c r="K59" s="257"/>
      <c r="L59" s="257"/>
      <c r="M59" s="257"/>
      <c r="N59" s="257"/>
      <c r="O59" s="257"/>
      <c r="P59" s="257"/>
      <c r="Q59" s="373"/>
    </row>
    <row r="60" spans="1:18" x14ac:dyDescent="0.15">
      <c r="A60" s="201" t="s">
        <v>12</v>
      </c>
      <c r="B60" s="418" t="s">
        <v>682</v>
      </c>
      <c r="C60" s="203"/>
      <c r="D60" s="153"/>
      <c r="E60" s="154" t="s">
        <v>18</v>
      </c>
      <c r="F60" s="155" t="s">
        <v>169</v>
      </c>
      <c r="G60" s="155" t="s">
        <v>170</v>
      </c>
      <c r="H60" s="155" t="s">
        <v>220</v>
      </c>
      <c r="I60" s="155" t="s">
        <v>184</v>
      </c>
      <c r="J60" s="155" t="s">
        <v>169</v>
      </c>
      <c r="K60" s="155" t="s">
        <v>170</v>
      </c>
      <c r="L60" s="155" t="s">
        <v>220</v>
      </c>
      <c r="M60" s="205" t="s">
        <v>184</v>
      </c>
      <c r="N60" s="50"/>
      <c r="O60" s="50"/>
      <c r="P60" s="50"/>
      <c r="Q60" s="83"/>
      <c r="R60" s="2" t="s">
        <v>18</v>
      </c>
    </row>
    <row r="61" spans="1:18" ht="14" thickBot="1" x14ac:dyDescent="0.2">
      <c r="A61" s="202" t="s">
        <v>652</v>
      </c>
      <c r="B61" s="183" t="s">
        <v>215</v>
      </c>
      <c r="C61" s="184"/>
      <c r="D61" s="204"/>
      <c r="E61" s="222"/>
      <c r="F61" s="34"/>
      <c r="G61" s="34"/>
      <c r="H61" s="535" t="s">
        <v>172</v>
      </c>
      <c r="I61" s="34"/>
      <c r="J61" s="34"/>
      <c r="K61" s="34"/>
      <c r="L61" s="535" t="s">
        <v>172</v>
      </c>
      <c r="M61" s="35"/>
      <c r="N61" s="14"/>
      <c r="O61" s="14"/>
      <c r="P61" s="64" t="s">
        <v>18</v>
      </c>
      <c r="Q61" s="136"/>
    </row>
    <row r="62" spans="1:18" x14ac:dyDescent="0.15">
      <c r="A62" s="46" t="s">
        <v>18</v>
      </c>
      <c r="B62" s="421" t="s">
        <v>18</v>
      </c>
      <c r="C62" s="419" t="s">
        <v>18</v>
      </c>
      <c r="D62" s="418"/>
      <c r="E62" s="539"/>
      <c r="F62" s="263" t="s">
        <v>382</v>
      </c>
      <c r="G62" s="540" t="s">
        <v>219</v>
      </c>
      <c r="H62" s="540" t="s">
        <v>468</v>
      </c>
      <c r="I62" s="227" t="s">
        <v>185</v>
      </c>
      <c r="J62" s="541" t="s">
        <v>469</v>
      </c>
      <c r="K62" s="540" t="s">
        <v>472</v>
      </c>
      <c r="L62" s="540" t="s">
        <v>471</v>
      </c>
      <c r="M62" s="542" t="s">
        <v>185</v>
      </c>
      <c r="N62" s="64" t="s">
        <v>18</v>
      </c>
      <c r="O62" s="14"/>
      <c r="P62" s="14"/>
      <c r="Q62" s="136"/>
    </row>
    <row r="63" spans="1:18" x14ac:dyDescent="0.15">
      <c r="A63" s="74"/>
      <c r="B63" s="183"/>
      <c r="C63" s="184"/>
      <c r="D63" s="183"/>
      <c r="E63" s="21"/>
      <c r="F63" s="64" t="s">
        <v>217</v>
      </c>
      <c r="G63" s="23"/>
      <c r="H63" s="26"/>
      <c r="I63" s="230"/>
      <c r="J63" s="64" t="s">
        <v>382</v>
      </c>
      <c r="K63" s="235" t="s">
        <v>470</v>
      </c>
      <c r="L63" s="235" t="s">
        <v>468</v>
      </c>
      <c r="M63" s="254" t="s">
        <v>185</v>
      </c>
      <c r="N63" s="64"/>
      <c r="O63" s="14"/>
      <c r="P63" s="64" t="s">
        <v>18</v>
      </c>
      <c r="Q63" s="136"/>
    </row>
    <row r="64" spans="1:18" ht="14" thickBot="1" x14ac:dyDescent="0.2">
      <c r="A64" s="95"/>
      <c r="B64" s="204"/>
      <c r="C64" s="162"/>
      <c r="D64" s="206"/>
      <c r="E64" s="160"/>
      <c r="F64" s="160"/>
      <c r="G64" s="161"/>
      <c r="H64" s="34"/>
      <c r="I64" s="160"/>
      <c r="J64" s="34"/>
      <c r="K64" s="228" t="s">
        <v>414</v>
      </c>
      <c r="L64" s="228"/>
      <c r="M64" s="162"/>
      <c r="N64" s="34"/>
      <c r="O64" s="34"/>
      <c r="P64" s="34"/>
      <c r="Q64" s="35"/>
    </row>
    <row r="65" spans="1:18" ht="14" thickBot="1" x14ac:dyDescent="0.2">
      <c r="A65" s="420"/>
      <c r="B65" s="48" t="s">
        <v>188</v>
      </c>
      <c r="C65" s="151" t="s">
        <v>188</v>
      </c>
      <c r="D65" s="32" t="s">
        <v>206</v>
      </c>
      <c r="E65" s="32" t="s">
        <v>197</v>
      </c>
      <c r="F65" s="32" t="s">
        <v>209</v>
      </c>
      <c r="G65" s="186" t="s">
        <v>226</v>
      </c>
      <c r="H65" s="187" t="s">
        <v>227</v>
      </c>
      <c r="I65" s="187" t="s">
        <v>228</v>
      </c>
      <c r="J65" s="32" t="s">
        <v>197</v>
      </c>
      <c r="K65" s="32" t="s">
        <v>209</v>
      </c>
      <c r="L65" s="188" t="s">
        <v>229</v>
      </c>
      <c r="M65" s="188" t="s">
        <v>226</v>
      </c>
      <c r="N65" s="166" t="s">
        <v>247</v>
      </c>
      <c r="O65" s="32" t="s">
        <v>209</v>
      </c>
      <c r="P65" s="252" t="s">
        <v>249</v>
      </c>
      <c r="Q65" s="151" t="s">
        <v>209</v>
      </c>
      <c r="R65" s="2" t="s">
        <v>18</v>
      </c>
    </row>
    <row r="66" spans="1:18" ht="14" thickBot="1" x14ac:dyDescent="0.2">
      <c r="A66" s="58" t="s">
        <v>225</v>
      </c>
      <c r="B66" s="89" t="s">
        <v>207</v>
      </c>
      <c r="C66" s="152" t="s">
        <v>208</v>
      </c>
      <c r="D66" s="13" t="s">
        <v>205</v>
      </c>
      <c r="E66" s="13" t="s">
        <v>240</v>
      </c>
      <c r="F66" s="13" t="s">
        <v>210</v>
      </c>
      <c r="G66" s="185" t="s">
        <v>37</v>
      </c>
      <c r="H66" s="15"/>
      <c r="I66" s="15"/>
      <c r="J66" s="13" t="s">
        <v>683</v>
      </c>
      <c r="K66" s="13" t="s">
        <v>210</v>
      </c>
      <c r="L66" s="14"/>
      <c r="M66" s="14" t="s">
        <v>37</v>
      </c>
      <c r="N66" s="27" t="s">
        <v>248</v>
      </c>
      <c r="O66" s="13" t="s">
        <v>210</v>
      </c>
      <c r="P66" s="28" t="s">
        <v>250</v>
      </c>
      <c r="Q66" s="207" t="s">
        <v>210</v>
      </c>
    </row>
    <row r="67" spans="1:18" x14ac:dyDescent="0.15">
      <c r="A67" s="142" t="s">
        <v>217</v>
      </c>
      <c r="B67" s="533">
        <v>0.66666666666666663</v>
      </c>
      <c r="C67" s="404">
        <v>0.75069444444444444</v>
      </c>
      <c r="D67" s="77">
        <v>121</v>
      </c>
      <c r="E67" s="50">
        <v>88</v>
      </c>
      <c r="F67" s="78">
        <f>+E67/D67</f>
        <v>0.72727272727272729</v>
      </c>
      <c r="G67" s="50"/>
      <c r="H67" s="188">
        <v>46</v>
      </c>
      <c r="I67" s="188"/>
      <c r="J67" s="188">
        <v>327</v>
      </c>
      <c r="K67" s="78">
        <f>+J67/D67</f>
        <v>2.7024793388429753</v>
      </c>
      <c r="L67" s="188">
        <v>292</v>
      </c>
      <c r="M67" s="267" t="s">
        <v>18</v>
      </c>
      <c r="N67" s="193">
        <v>104</v>
      </c>
      <c r="O67" s="78">
        <f>+N67/D67</f>
        <v>0.85950413223140498</v>
      </c>
      <c r="P67" s="188">
        <v>234</v>
      </c>
      <c r="Q67" s="194">
        <f>+P67/D67</f>
        <v>1.9338842975206612</v>
      </c>
    </row>
    <row r="68" spans="1:18" x14ac:dyDescent="0.15">
      <c r="A68" s="142" t="s">
        <v>234</v>
      </c>
      <c r="B68" s="410">
        <v>0.67361111111111116</v>
      </c>
      <c r="C68" s="408">
        <v>0.76250000000000007</v>
      </c>
      <c r="D68" s="91">
        <v>128</v>
      </c>
      <c r="E68" s="14">
        <v>60</v>
      </c>
      <c r="F68" s="38">
        <f>+E68/D68</f>
        <v>0.46875</v>
      </c>
      <c r="G68" s="14">
        <v>2</v>
      </c>
      <c r="H68" s="30">
        <v>33</v>
      </c>
      <c r="I68" s="30"/>
      <c r="J68" s="30">
        <v>355</v>
      </c>
      <c r="K68" s="38">
        <f>+J68/D68</f>
        <v>2.7734375</v>
      </c>
      <c r="L68" s="30">
        <v>334</v>
      </c>
      <c r="M68" s="30">
        <v>3</v>
      </c>
      <c r="N68" s="41">
        <v>107</v>
      </c>
      <c r="O68" s="38">
        <f>+N68/D68</f>
        <v>0.8359375</v>
      </c>
      <c r="P68" s="30">
        <v>251</v>
      </c>
      <c r="Q68" s="172">
        <f>+P68/D68</f>
        <v>1.9609375</v>
      </c>
    </row>
    <row r="69" spans="1:18" x14ac:dyDescent="0.15">
      <c r="A69" s="142" t="s">
        <v>234</v>
      </c>
      <c r="B69" s="408">
        <v>0.46597222222222223</v>
      </c>
      <c r="C69" s="410">
        <v>0.54513888888888895</v>
      </c>
      <c r="D69" s="91">
        <v>114</v>
      </c>
      <c r="E69" s="14">
        <v>92</v>
      </c>
      <c r="F69" s="38">
        <f>+E69/D69</f>
        <v>0.80701754385964908</v>
      </c>
      <c r="G69" s="14">
        <v>3</v>
      </c>
      <c r="H69" s="30">
        <v>41</v>
      </c>
      <c r="I69" s="30"/>
      <c r="J69" s="238">
        <v>342</v>
      </c>
      <c r="K69" s="38">
        <f>+J69/D69</f>
        <v>3</v>
      </c>
      <c r="L69" s="238">
        <v>312</v>
      </c>
      <c r="M69" s="14"/>
      <c r="N69" s="72">
        <v>153</v>
      </c>
      <c r="O69" s="38">
        <f>+N69/D69</f>
        <v>1.3421052631578947</v>
      </c>
      <c r="P69" s="30">
        <v>334</v>
      </c>
      <c r="Q69" s="172">
        <f>+P69/D69</f>
        <v>2.9298245614035086</v>
      </c>
    </row>
    <row r="70" spans="1:18" ht="14" thickBot="1" x14ac:dyDescent="0.2">
      <c r="A70" s="142" t="s">
        <v>653</v>
      </c>
      <c r="B70" s="534"/>
      <c r="C70" s="405"/>
      <c r="D70" s="417">
        <f>SUM(D68:D69)</f>
        <v>242</v>
      </c>
      <c r="E70" s="34">
        <f>SUM(E68:E69)</f>
        <v>152</v>
      </c>
      <c r="F70" s="174">
        <f>+E70/D70</f>
        <v>0.62809917355371903</v>
      </c>
      <c r="G70" s="34">
        <f>SUM(G68:G69)</f>
        <v>5</v>
      </c>
      <c r="H70" s="34">
        <f>SUM(H68:H69)</f>
        <v>74</v>
      </c>
      <c r="I70" s="197"/>
      <c r="J70" s="34">
        <f>SUM(J68:J69)</f>
        <v>697</v>
      </c>
      <c r="K70" s="174">
        <f>+J70/D70</f>
        <v>2.8801652892561984</v>
      </c>
      <c r="L70" s="34">
        <f>SUM(L68:L69)</f>
        <v>646</v>
      </c>
      <c r="M70" s="34"/>
      <c r="N70" s="403">
        <f>SUM(N68:N69)</f>
        <v>260</v>
      </c>
      <c r="O70" s="174">
        <f>+N70/D70</f>
        <v>1.0743801652892562</v>
      </c>
      <c r="P70" s="313">
        <f>SUM(P68:P69)</f>
        <v>585</v>
      </c>
      <c r="Q70" s="198">
        <f>+P70/D70</f>
        <v>2.4173553719008263</v>
      </c>
    </row>
    <row r="71" spans="1:18" ht="14" thickBot="1" x14ac:dyDescent="0.2">
      <c r="A71" s="47" t="s">
        <v>68</v>
      </c>
      <c r="B71" s="34"/>
      <c r="C71" s="34"/>
      <c r="D71" s="126">
        <f>SUM(D67:D69)</f>
        <v>363</v>
      </c>
      <c r="E71" s="126">
        <f>SUM(E67:E69)</f>
        <v>240</v>
      </c>
      <c r="F71" s="847">
        <f>+E71/D71</f>
        <v>0.66115702479338845</v>
      </c>
      <c r="G71" s="126">
        <f>SUM(G67:G69)</f>
        <v>5</v>
      </c>
      <c r="H71" s="126">
        <f>SUM(H67:H69)</f>
        <v>120</v>
      </c>
      <c r="I71" s="126">
        <f>SUM(I67:I69)</f>
        <v>0</v>
      </c>
      <c r="J71" s="126">
        <f>SUM(J67:J69)</f>
        <v>1024</v>
      </c>
      <c r="K71" s="847">
        <f>+J71/D71</f>
        <v>2.8209366391184574</v>
      </c>
      <c r="L71" s="126">
        <f>SUM(L67:L69)</f>
        <v>938</v>
      </c>
      <c r="M71" s="126">
        <f>SUM(M67:M69)</f>
        <v>3</v>
      </c>
      <c r="N71" s="411">
        <f>SUM(N67:N69)</f>
        <v>364</v>
      </c>
      <c r="O71" s="847">
        <f>+N71/D71</f>
        <v>1.002754820936639</v>
      </c>
      <c r="P71" s="126">
        <f>SUM(P67:P69)</f>
        <v>819</v>
      </c>
      <c r="Q71" s="848">
        <f>+P71/D71</f>
        <v>2.2561983471074378</v>
      </c>
    </row>
    <row r="72" spans="1:18" ht="14" thickBot="1" x14ac:dyDescent="0.2">
      <c r="A72" s="406" t="s">
        <v>18</v>
      </c>
      <c r="B72" s="257"/>
      <c r="C72" s="257" t="s">
        <v>18</v>
      </c>
      <c r="D72" s="257"/>
      <c r="E72" s="257"/>
      <c r="F72" s="257" t="s">
        <v>18</v>
      </c>
      <c r="G72" s="257" t="s">
        <v>18</v>
      </c>
      <c r="H72" s="257"/>
      <c r="I72" s="257"/>
      <c r="J72" s="257"/>
      <c r="K72" s="257"/>
      <c r="L72" s="257"/>
      <c r="M72" s="257"/>
      <c r="N72" s="257"/>
      <c r="O72" s="257"/>
      <c r="P72" s="257"/>
      <c r="Q72" s="373"/>
    </row>
    <row r="73" spans="1:18" x14ac:dyDescent="0.15">
      <c r="N73" s="2" t="s">
        <v>18</v>
      </c>
    </row>
    <row r="74" spans="1:18" x14ac:dyDescent="0.15">
      <c r="B74" s="2" t="s">
        <v>18</v>
      </c>
      <c r="J74" s="2" t="s">
        <v>18</v>
      </c>
    </row>
    <row r="75" spans="1:18" x14ac:dyDescent="0.15">
      <c r="D75" s="2" t="s">
        <v>18</v>
      </c>
      <c r="J75" s="2" t="s">
        <v>18</v>
      </c>
      <c r="K75" s="2" t="s">
        <v>18</v>
      </c>
    </row>
    <row r="76" spans="1:18" x14ac:dyDescent="0.15">
      <c r="F76" s="2" t="s">
        <v>18</v>
      </c>
      <c r="G76" s="2" t="s">
        <v>18</v>
      </c>
      <c r="N76" s="2" t="s">
        <v>18</v>
      </c>
      <c r="O76" s="2" t="s">
        <v>18</v>
      </c>
    </row>
    <row r="77" spans="1:18" x14ac:dyDescent="0.15">
      <c r="F77" s="2" t="s">
        <v>18</v>
      </c>
      <c r="G77" s="2" t="s">
        <v>18</v>
      </c>
      <c r="L77" s="2" t="s">
        <v>18</v>
      </c>
      <c r="O77" s="2" t="s">
        <v>18</v>
      </c>
    </row>
    <row r="78" spans="1:18" x14ac:dyDescent="0.15">
      <c r="M78" s="2" t="s">
        <v>18</v>
      </c>
    </row>
    <row r="80" spans="1:18" x14ac:dyDescent="0.15">
      <c r="D80" s="2" t="s">
        <v>18</v>
      </c>
    </row>
  </sheetData>
  <phoneticPr fontId="5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341"/>
  <sheetViews>
    <sheetView workbookViewId="0">
      <selection activeCell="C32" sqref="C32"/>
    </sheetView>
  </sheetViews>
  <sheetFormatPr baseColWidth="10" defaultColWidth="8.83203125" defaultRowHeight="13" x14ac:dyDescent="0.15"/>
  <cols>
    <col min="1" max="1" width="19.5" bestFit="1" customWidth="1"/>
    <col min="2" max="2" width="11.5" bestFit="1" customWidth="1"/>
    <col min="3" max="3" width="13.5" bestFit="1" customWidth="1"/>
    <col min="11" max="12" width="12.5" bestFit="1" customWidth="1"/>
    <col min="13" max="13" width="14" customWidth="1"/>
    <col min="14" max="14" width="18.33203125" customWidth="1"/>
  </cols>
  <sheetData>
    <row r="1" spans="1:23" ht="17" thickBot="1" x14ac:dyDescent="0.25">
      <c r="A1" s="528" t="s">
        <v>642</v>
      </c>
      <c r="B1" s="529"/>
      <c r="C1" s="529"/>
    </row>
    <row r="2" spans="1:23" ht="14" thickBot="1" x14ac:dyDescent="0.2">
      <c r="A2" s="524"/>
      <c r="B2" s="525"/>
      <c r="C2" s="525"/>
      <c r="D2" s="561"/>
      <c r="E2" s="561"/>
      <c r="F2" s="561"/>
      <c r="G2" s="561"/>
      <c r="H2" s="561"/>
      <c r="I2" s="561"/>
      <c r="J2" s="561"/>
      <c r="K2" s="561"/>
      <c r="L2" s="561"/>
      <c r="M2" s="561"/>
      <c r="N2" s="561"/>
      <c r="O2" s="561"/>
      <c r="P2" s="561"/>
      <c r="Q2" s="561"/>
      <c r="R2" s="561"/>
      <c r="S2" s="561"/>
      <c r="T2" s="561"/>
      <c r="U2" s="561"/>
      <c r="V2" s="561"/>
      <c r="W2" s="562"/>
    </row>
    <row r="3" spans="1:23" ht="14" thickBot="1" x14ac:dyDescent="0.2">
      <c r="A3" s="53" t="s">
        <v>12</v>
      </c>
      <c r="B3" s="153"/>
      <c r="C3" s="154"/>
      <c r="D3" s="154" t="s">
        <v>18</v>
      </c>
      <c r="E3" s="154"/>
      <c r="F3" s="155" t="s">
        <v>169</v>
      </c>
      <c r="G3" s="155" t="s">
        <v>170</v>
      </c>
      <c r="H3" s="155" t="s">
        <v>220</v>
      </c>
      <c r="I3" s="155" t="s">
        <v>184</v>
      </c>
      <c r="J3" s="155"/>
      <c r="K3" s="50"/>
      <c r="L3" s="83"/>
      <c r="M3" s="50"/>
      <c r="N3" s="50"/>
      <c r="O3" s="50"/>
      <c r="P3" s="50"/>
      <c r="Q3" s="50"/>
      <c r="R3" s="50"/>
      <c r="S3" s="50"/>
      <c r="T3" s="50"/>
      <c r="U3" s="50"/>
      <c r="V3" s="50"/>
      <c r="W3" s="83"/>
    </row>
    <row r="4" spans="1:23" x14ac:dyDescent="0.15">
      <c r="A4" s="74" t="s">
        <v>638</v>
      </c>
      <c r="B4" s="163" t="s">
        <v>213</v>
      </c>
      <c r="C4" s="164"/>
      <c r="D4" s="21"/>
      <c r="E4" s="19"/>
      <c r="F4" s="14" t="s">
        <v>192</v>
      </c>
      <c r="G4" s="23" t="s">
        <v>219</v>
      </c>
      <c r="H4" s="26" t="s">
        <v>172</v>
      </c>
      <c r="I4" s="19" t="s">
        <v>185</v>
      </c>
      <c r="J4" s="19"/>
      <c r="K4" s="19" t="s">
        <v>18</v>
      </c>
      <c r="L4" s="157" t="s">
        <v>18</v>
      </c>
      <c r="M4" s="19"/>
      <c r="N4" s="163" t="s">
        <v>213</v>
      </c>
      <c r="O4" s="164"/>
      <c r="P4" s="14" t="s">
        <v>18</v>
      </c>
      <c r="Q4" s="14"/>
      <c r="R4" s="14"/>
      <c r="S4" s="14"/>
      <c r="T4" s="14"/>
      <c r="U4" s="14"/>
      <c r="V4" s="14"/>
      <c r="W4" s="136"/>
    </row>
    <row r="5" spans="1:23" ht="14" thickBot="1" x14ac:dyDescent="0.2">
      <c r="A5" s="95"/>
      <c r="B5" s="158" t="s">
        <v>215</v>
      </c>
      <c r="C5" s="165"/>
      <c r="D5" s="160"/>
      <c r="E5" s="160"/>
      <c r="F5" s="160"/>
      <c r="G5" s="161" t="s">
        <v>18</v>
      </c>
      <c r="H5" s="161" t="s">
        <v>221</v>
      </c>
      <c r="I5" s="160" t="s">
        <v>18</v>
      </c>
      <c r="J5" s="160"/>
      <c r="K5" s="160"/>
      <c r="L5" s="162"/>
      <c r="M5" s="160"/>
      <c r="N5" s="158" t="s">
        <v>215</v>
      </c>
      <c r="O5" s="165"/>
      <c r="P5" s="13"/>
      <c r="Q5" s="14"/>
      <c r="R5" s="14"/>
      <c r="S5" s="14"/>
      <c r="T5" s="14"/>
      <c r="U5" s="14"/>
      <c r="V5" s="14"/>
      <c r="W5" s="136"/>
    </row>
    <row r="6" spans="1:23" x14ac:dyDescent="0.15">
      <c r="A6" s="149" t="s">
        <v>216</v>
      </c>
      <c r="B6" s="48" t="s">
        <v>188</v>
      </c>
      <c r="C6" s="32" t="s">
        <v>188</v>
      </c>
      <c r="D6" s="32" t="s">
        <v>206</v>
      </c>
      <c r="E6" s="32" t="s">
        <v>197</v>
      </c>
      <c r="F6" s="32" t="s">
        <v>209</v>
      </c>
      <c r="G6" s="32" t="s">
        <v>197</v>
      </c>
      <c r="H6" s="32" t="s">
        <v>209</v>
      </c>
      <c r="I6" s="32" t="s">
        <v>201</v>
      </c>
      <c r="J6" s="32" t="s">
        <v>209</v>
      </c>
      <c r="K6" s="32" t="s">
        <v>203</v>
      </c>
      <c r="L6" s="32" t="s">
        <v>209</v>
      </c>
      <c r="M6" s="32" t="s">
        <v>417</v>
      </c>
      <c r="N6" s="32"/>
      <c r="O6" s="32" t="s">
        <v>206</v>
      </c>
      <c r="P6" s="32" t="s">
        <v>197</v>
      </c>
      <c r="Q6" s="32" t="s">
        <v>209</v>
      </c>
      <c r="R6" s="32" t="s">
        <v>197</v>
      </c>
      <c r="S6" s="32" t="s">
        <v>209</v>
      </c>
      <c r="T6" s="32" t="s">
        <v>201</v>
      </c>
      <c r="U6" s="32" t="s">
        <v>209</v>
      </c>
      <c r="V6" s="32" t="s">
        <v>203</v>
      </c>
      <c r="W6" s="151" t="s">
        <v>209</v>
      </c>
    </row>
    <row r="7" spans="1:23" ht="14" thickBot="1" x14ac:dyDescent="0.2">
      <c r="A7" s="150" t="s">
        <v>353</v>
      </c>
      <c r="B7" s="89" t="s">
        <v>207</v>
      </c>
      <c r="C7" s="33" t="s">
        <v>208</v>
      </c>
      <c r="D7" s="33" t="s">
        <v>205</v>
      </c>
      <c r="E7" s="33" t="s">
        <v>198</v>
      </c>
      <c r="F7" s="33" t="s">
        <v>210</v>
      </c>
      <c r="G7" s="33" t="s">
        <v>199</v>
      </c>
      <c r="H7" s="33" t="s">
        <v>210</v>
      </c>
      <c r="I7" s="33" t="s">
        <v>200</v>
      </c>
      <c r="J7" s="33" t="s">
        <v>210</v>
      </c>
      <c r="K7" s="33" t="s">
        <v>204</v>
      </c>
      <c r="L7" s="33" t="s">
        <v>210</v>
      </c>
      <c r="M7" s="33"/>
      <c r="N7" s="33"/>
      <c r="O7" s="33" t="s">
        <v>205</v>
      </c>
      <c r="P7" s="33" t="s">
        <v>198</v>
      </c>
      <c r="Q7" s="33" t="s">
        <v>210</v>
      </c>
      <c r="R7" s="33" t="s">
        <v>199</v>
      </c>
      <c r="S7" s="33" t="s">
        <v>210</v>
      </c>
      <c r="T7" s="33" t="s">
        <v>200</v>
      </c>
      <c r="U7" s="33" t="s">
        <v>210</v>
      </c>
      <c r="V7" s="33" t="s">
        <v>204</v>
      </c>
      <c r="W7" s="152" t="s">
        <v>210</v>
      </c>
    </row>
    <row r="8" spans="1:23" x14ac:dyDescent="0.15">
      <c r="A8" s="55" t="s">
        <v>202</v>
      </c>
      <c r="B8" s="37">
        <v>0.46840277777777778</v>
      </c>
      <c r="C8" s="37">
        <v>0.47465277777777781</v>
      </c>
      <c r="D8" s="14">
        <v>9</v>
      </c>
      <c r="E8" s="14">
        <v>21</v>
      </c>
      <c r="F8" s="38">
        <f t="shared" ref="F8:F31" si="0">+E8/D8</f>
        <v>2.3333333333333335</v>
      </c>
      <c r="G8" s="14">
        <v>47</v>
      </c>
      <c r="H8" s="38">
        <f>+G8/D8</f>
        <v>5.2222222222222223</v>
      </c>
      <c r="I8" s="14">
        <v>1</v>
      </c>
      <c r="J8" s="38">
        <f>+I8/D8</f>
        <v>0.1111111111111111</v>
      </c>
      <c r="K8" s="14">
        <v>2</v>
      </c>
      <c r="L8" s="38">
        <f>+K8/D8</f>
        <v>0.22222222222222221</v>
      </c>
      <c r="M8" s="38"/>
      <c r="N8" s="38"/>
      <c r="O8" s="14"/>
      <c r="P8" s="14"/>
      <c r="Q8" s="14"/>
      <c r="R8" s="14"/>
      <c r="S8" s="14"/>
      <c r="T8" s="14"/>
      <c r="U8" s="14"/>
      <c r="V8" s="14"/>
      <c r="W8" s="136"/>
    </row>
    <row r="9" spans="1:23" x14ac:dyDescent="0.15">
      <c r="A9" s="55"/>
      <c r="B9" s="37">
        <v>0.49444444444444446</v>
      </c>
      <c r="C9" s="37">
        <v>0.50069444444444444</v>
      </c>
      <c r="D9" s="14">
        <v>9</v>
      </c>
      <c r="E9" s="14">
        <v>23</v>
      </c>
      <c r="F9" s="38">
        <f t="shared" si="0"/>
        <v>2.5555555555555554</v>
      </c>
      <c r="G9" s="14">
        <v>34</v>
      </c>
      <c r="H9" s="38">
        <f t="shared" ref="H9:H24" si="1">+G9/D9</f>
        <v>3.7777777777777777</v>
      </c>
      <c r="I9" s="14">
        <v>3</v>
      </c>
      <c r="J9" s="38">
        <f t="shared" ref="J9:J24" si="2">+I9/D9</f>
        <v>0.33333333333333331</v>
      </c>
      <c r="K9" s="14">
        <v>3</v>
      </c>
      <c r="L9" s="38">
        <f t="shared" ref="L9:L24" si="3">+K9/D9</f>
        <v>0.33333333333333331</v>
      </c>
      <c r="M9" s="38"/>
      <c r="N9" s="38"/>
      <c r="O9" s="14"/>
      <c r="P9" s="14"/>
      <c r="Q9" s="14"/>
      <c r="R9" s="14"/>
      <c r="S9" s="14"/>
      <c r="T9" s="14"/>
      <c r="U9" s="14"/>
      <c r="V9" s="14"/>
      <c r="W9" s="136"/>
    </row>
    <row r="10" spans="1:23" x14ac:dyDescent="0.15">
      <c r="A10" s="94"/>
      <c r="B10" s="37">
        <v>0.51736111111111105</v>
      </c>
      <c r="C10" s="37">
        <v>0.52361111111111114</v>
      </c>
      <c r="D10" s="14">
        <v>9</v>
      </c>
      <c r="E10" s="14">
        <v>33</v>
      </c>
      <c r="F10" s="38">
        <f t="shared" si="0"/>
        <v>3.6666666666666665</v>
      </c>
      <c r="G10" s="14">
        <v>45</v>
      </c>
      <c r="H10" s="38">
        <f t="shared" si="1"/>
        <v>5</v>
      </c>
      <c r="I10" s="14">
        <v>2</v>
      </c>
      <c r="J10" s="38">
        <f t="shared" si="2"/>
        <v>0.22222222222222221</v>
      </c>
      <c r="K10" s="14">
        <v>3</v>
      </c>
      <c r="L10" s="38">
        <f t="shared" si="3"/>
        <v>0.33333333333333331</v>
      </c>
      <c r="M10" s="38"/>
      <c r="N10" s="38"/>
      <c r="O10" s="14"/>
      <c r="P10" s="14"/>
      <c r="Q10" s="14"/>
      <c r="R10" s="14"/>
      <c r="S10" s="14"/>
      <c r="T10" s="14"/>
      <c r="U10" s="14"/>
      <c r="V10" s="14"/>
      <c r="W10" s="136"/>
    </row>
    <row r="11" spans="1:23" x14ac:dyDescent="0.15">
      <c r="A11" s="94"/>
      <c r="B11" s="37">
        <v>0.54374999999999996</v>
      </c>
      <c r="C11" s="37">
        <v>0.55000000000000004</v>
      </c>
      <c r="D11" s="14">
        <v>9</v>
      </c>
      <c r="E11" s="14">
        <v>26</v>
      </c>
      <c r="F11" s="38">
        <f t="shared" si="0"/>
        <v>2.8888888888888888</v>
      </c>
      <c r="G11" s="14">
        <v>26</v>
      </c>
      <c r="H11" s="38">
        <f t="shared" si="1"/>
        <v>2.8888888888888888</v>
      </c>
      <c r="I11" s="14">
        <v>1</v>
      </c>
      <c r="J11" s="38">
        <f t="shared" si="2"/>
        <v>0.1111111111111111</v>
      </c>
      <c r="K11" s="14">
        <v>0</v>
      </c>
      <c r="L11" s="38">
        <f t="shared" si="3"/>
        <v>0</v>
      </c>
      <c r="M11" s="38"/>
      <c r="N11" s="38"/>
      <c r="O11" s="14">
        <f>+SUM(D8:D11)</f>
        <v>36</v>
      </c>
      <c r="P11" s="14">
        <f>+SUM(E8:E11)</f>
        <v>103</v>
      </c>
      <c r="Q11" s="38">
        <f>+P11/O11</f>
        <v>2.8611111111111112</v>
      </c>
      <c r="R11" s="14">
        <f>+SUM(G8:G11)</f>
        <v>152</v>
      </c>
      <c r="S11" s="38">
        <f>+R11/O11</f>
        <v>4.2222222222222223</v>
      </c>
      <c r="T11" s="14">
        <f>+SUM(I8:I11)</f>
        <v>7</v>
      </c>
      <c r="U11" s="38">
        <f>+T11/O11</f>
        <v>0.19444444444444445</v>
      </c>
      <c r="V11" s="14">
        <f>+SUM(K8:K11)</f>
        <v>8</v>
      </c>
      <c r="W11" s="172">
        <f>+V11/O11</f>
        <v>0.22222222222222221</v>
      </c>
    </row>
    <row r="12" spans="1:23" x14ac:dyDescent="0.15">
      <c r="A12" s="142" t="s">
        <v>211</v>
      </c>
      <c r="B12" s="37">
        <v>0.47673611111111108</v>
      </c>
      <c r="C12" s="37">
        <v>0.48298611111111112</v>
      </c>
      <c r="D12" s="14">
        <v>9</v>
      </c>
      <c r="E12" s="306">
        <v>8</v>
      </c>
      <c r="F12" s="38">
        <f t="shared" si="0"/>
        <v>0.88888888888888884</v>
      </c>
      <c r="G12" s="14">
        <v>6</v>
      </c>
      <c r="H12" s="38">
        <f t="shared" si="1"/>
        <v>0.66666666666666663</v>
      </c>
      <c r="I12" s="14">
        <v>0</v>
      </c>
      <c r="J12" s="38">
        <f t="shared" si="2"/>
        <v>0</v>
      </c>
      <c r="K12" s="14">
        <v>0</v>
      </c>
      <c r="L12" s="25">
        <f t="shared" si="3"/>
        <v>0</v>
      </c>
      <c r="M12" s="25"/>
      <c r="N12" s="25"/>
      <c r="O12" s="14"/>
      <c r="P12" s="14"/>
      <c r="Q12" s="14"/>
      <c r="R12" s="14"/>
      <c r="S12" s="14"/>
      <c r="T12" s="14"/>
      <c r="U12" s="14"/>
      <c r="V12" s="14"/>
      <c r="W12" s="136"/>
    </row>
    <row r="13" spans="1:23" x14ac:dyDescent="0.15">
      <c r="A13" s="94"/>
      <c r="B13" s="36">
        <v>0.50277777777777777</v>
      </c>
      <c r="C13" s="36">
        <v>0.50902777777777775</v>
      </c>
      <c r="D13" s="14">
        <v>9</v>
      </c>
      <c r="E13" s="306">
        <v>18</v>
      </c>
      <c r="F13" s="38">
        <f t="shared" si="0"/>
        <v>2</v>
      </c>
      <c r="G13" s="14">
        <v>16</v>
      </c>
      <c r="H13" s="38">
        <f t="shared" si="1"/>
        <v>1.7777777777777777</v>
      </c>
      <c r="I13" s="14">
        <v>0</v>
      </c>
      <c r="J13" s="38">
        <f t="shared" si="2"/>
        <v>0</v>
      </c>
      <c r="K13" s="14">
        <v>0</v>
      </c>
      <c r="L13" s="25">
        <f t="shared" si="3"/>
        <v>0</v>
      </c>
      <c r="M13" s="25"/>
      <c r="N13" s="25"/>
      <c r="O13" s="14"/>
      <c r="P13" s="14"/>
      <c r="Q13" s="14"/>
      <c r="R13" s="14"/>
      <c r="S13" s="14"/>
      <c r="T13" s="14"/>
      <c r="U13" s="14"/>
      <c r="V13" s="14"/>
      <c r="W13" s="136"/>
    </row>
    <row r="14" spans="1:23" x14ac:dyDescent="0.15">
      <c r="A14" s="94"/>
      <c r="B14" s="37">
        <v>0.52604166666666663</v>
      </c>
      <c r="C14" s="37">
        <v>0.53229166666666672</v>
      </c>
      <c r="D14" s="14">
        <v>9</v>
      </c>
      <c r="E14" s="170">
        <v>11</v>
      </c>
      <c r="F14" s="38">
        <f t="shared" si="0"/>
        <v>1.2222222222222223</v>
      </c>
      <c r="G14" s="14">
        <v>20</v>
      </c>
      <c r="H14" s="38">
        <f t="shared" si="1"/>
        <v>2.2222222222222223</v>
      </c>
      <c r="I14" s="14">
        <v>0</v>
      </c>
      <c r="J14" s="38">
        <f t="shared" si="2"/>
        <v>0</v>
      </c>
      <c r="K14" s="14">
        <v>0</v>
      </c>
      <c r="L14" s="25">
        <f t="shared" si="3"/>
        <v>0</v>
      </c>
      <c r="M14" s="25"/>
      <c r="N14" s="25"/>
      <c r="O14" s="14"/>
      <c r="P14" s="14"/>
      <c r="Q14" s="14"/>
      <c r="R14" s="14"/>
      <c r="S14" s="14"/>
      <c r="T14" s="14"/>
      <c r="U14" s="14"/>
      <c r="V14" s="14"/>
      <c r="W14" s="136"/>
    </row>
    <row r="15" spans="1:23" x14ac:dyDescent="0.15">
      <c r="A15" s="94"/>
      <c r="B15" s="37">
        <v>0.55208333333333337</v>
      </c>
      <c r="C15" s="37">
        <v>0.55833333333333335</v>
      </c>
      <c r="D15" s="14">
        <v>9</v>
      </c>
      <c r="E15" s="170">
        <v>14</v>
      </c>
      <c r="F15" s="38">
        <f t="shared" si="0"/>
        <v>1.5555555555555556</v>
      </c>
      <c r="G15" s="14">
        <v>14</v>
      </c>
      <c r="H15" s="38">
        <f t="shared" si="1"/>
        <v>1.5555555555555556</v>
      </c>
      <c r="I15" s="14">
        <v>0</v>
      </c>
      <c r="J15" s="38">
        <f t="shared" si="2"/>
        <v>0</v>
      </c>
      <c r="K15" s="14">
        <v>0</v>
      </c>
      <c r="L15" s="25">
        <f t="shared" si="3"/>
        <v>0</v>
      </c>
      <c r="M15" s="25"/>
      <c r="N15" s="25"/>
      <c r="O15" s="14">
        <f>+SUM(D12:D15)</f>
        <v>36</v>
      </c>
      <c r="P15" s="14">
        <f>+SUM(E12:E15)</f>
        <v>51</v>
      </c>
      <c r="Q15" s="38">
        <f>+P15/O15</f>
        <v>1.4166666666666667</v>
      </c>
      <c r="R15" s="14">
        <f>+SUM(G12:G15)</f>
        <v>56</v>
      </c>
      <c r="S15" s="38">
        <f>+R15/O15</f>
        <v>1.5555555555555556</v>
      </c>
      <c r="T15" s="14">
        <f>+SUM(I12:I15)</f>
        <v>0</v>
      </c>
      <c r="U15" s="38">
        <f>+T15/O15</f>
        <v>0</v>
      </c>
      <c r="V15" s="14">
        <f>+SUM(K12:K15)</f>
        <v>0</v>
      </c>
      <c r="W15" s="172">
        <f>+V15/O15</f>
        <v>0</v>
      </c>
    </row>
    <row r="16" spans="1:23" x14ac:dyDescent="0.15">
      <c r="A16" s="142" t="s">
        <v>60</v>
      </c>
      <c r="B16" s="37">
        <v>0.48518518518518516</v>
      </c>
      <c r="C16" s="37">
        <v>0.4914351851851852</v>
      </c>
      <c r="D16" s="14">
        <v>9</v>
      </c>
      <c r="E16" s="170">
        <v>9</v>
      </c>
      <c r="F16" s="38">
        <f t="shared" si="0"/>
        <v>1</v>
      </c>
      <c r="G16" s="14">
        <v>9</v>
      </c>
      <c r="H16" s="38">
        <f t="shared" si="1"/>
        <v>1</v>
      </c>
      <c r="I16" s="14">
        <v>0</v>
      </c>
      <c r="J16" s="38">
        <f t="shared" si="2"/>
        <v>0</v>
      </c>
      <c r="K16" s="14">
        <v>0</v>
      </c>
      <c r="L16" s="25">
        <f t="shared" si="3"/>
        <v>0</v>
      </c>
      <c r="M16" s="25"/>
      <c r="N16" s="25"/>
      <c r="O16" s="14"/>
      <c r="P16" s="14"/>
      <c r="Q16" s="14"/>
      <c r="R16" s="14"/>
      <c r="S16" s="14"/>
      <c r="T16" s="14"/>
      <c r="U16" s="14"/>
      <c r="V16" s="14" t="s">
        <v>18</v>
      </c>
      <c r="W16" s="136"/>
    </row>
    <row r="17" spans="1:25" x14ac:dyDescent="0.15">
      <c r="A17" s="94"/>
      <c r="B17" s="37">
        <v>0.51111111111111118</v>
      </c>
      <c r="C17" s="37">
        <v>0.51736111111111105</v>
      </c>
      <c r="D17" s="14">
        <v>9</v>
      </c>
      <c r="E17" s="170">
        <v>9</v>
      </c>
      <c r="F17" s="38">
        <f t="shared" si="0"/>
        <v>1</v>
      </c>
      <c r="G17" s="14">
        <v>3</v>
      </c>
      <c r="H17" s="38">
        <f t="shared" si="1"/>
        <v>0.33333333333333331</v>
      </c>
      <c r="I17" s="14">
        <v>0</v>
      </c>
      <c r="J17" s="38">
        <f t="shared" si="2"/>
        <v>0</v>
      </c>
      <c r="K17" s="14">
        <v>0</v>
      </c>
      <c r="L17" s="25">
        <f t="shared" si="3"/>
        <v>0</v>
      </c>
      <c r="M17" s="25"/>
      <c r="N17" s="25"/>
      <c r="O17" s="14"/>
      <c r="P17" s="14"/>
      <c r="Q17" s="14"/>
      <c r="R17" s="14"/>
      <c r="S17" s="14" t="s">
        <v>18</v>
      </c>
      <c r="T17" s="14"/>
      <c r="U17" s="14"/>
      <c r="V17" s="14"/>
      <c r="W17" s="136"/>
    </row>
    <row r="18" spans="1:25" x14ac:dyDescent="0.15">
      <c r="A18" s="94"/>
      <c r="B18" s="37">
        <v>0.53425925925925932</v>
      </c>
      <c r="C18" s="37">
        <v>0.54050925925925919</v>
      </c>
      <c r="D18" s="14">
        <v>9</v>
      </c>
      <c r="E18" s="170">
        <v>15</v>
      </c>
      <c r="F18" s="38">
        <f t="shared" si="0"/>
        <v>1.6666666666666667</v>
      </c>
      <c r="G18" s="14">
        <v>7</v>
      </c>
      <c r="H18" s="38">
        <f t="shared" si="1"/>
        <v>0.77777777777777779</v>
      </c>
      <c r="I18" s="14">
        <v>1</v>
      </c>
      <c r="J18" s="38">
        <f t="shared" si="2"/>
        <v>0.1111111111111111</v>
      </c>
      <c r="K18" s="14">
        <v>0</v>
      </c>
      <c r="L18" s="25">
        <f t="shared" si="3"/>
        <v>0</v>
      </c>
      <c r="M18" s="25"/>
      <c r="N18" s="25"/>
      <c r="O18" s="14"/>
      <c r="P18" s="14"/>
      <c r="Q18" s="14"/>
      <c r="R18" s="14"/>
      <c r="S18" s="14" t="s">
        <v>18</v>
      </c>
      <c r="T18" s="14"/>
      <c r="U18" s="14"/>
      <c r="V18" s="14"/>
      <c r="W18" s="136"/>
    </row>
    <row r="19" spans="1:25" x14ac:dyDescent="0.15">
      <c r="A19" s="94"/>
      <c r="B19" s="37">
        <v>0.56180555555555556</v>
      </c>
      <c r="C19" s="37">
        <v>0.56805555555555554</v>
      </c>
      <c r="D19" s="14">
        <v>9</v>
      </c>
      <c r="E19" s="170">
        <v>9</v>
      </c>
      <c r="F19" s="38">
        <f t="shared" si="0"/>
        <v>1</v>
      </c>
      <c r="G19" s="14">
        <v>12</v>
      </c>
      <c r="H19" s="38">
        <f t="shared" si="1"/>
        <v>1.3333333333333333</v>
      </c>
      <c r="I19" s="14">
        <v>0</v>
      </c>
      <c r="J19" s="38">
        <f t="shared" si="2"/>
        <v>0</v>
      </c>
      <c r="K19" s="14">
        <v>1</v>
      </c>
      <c r="L19" s="25">
        <f t="shared" si="3"/>
        <v>0.1111111111111111</v>
      </c>
      <c r="M19" s="25"/>
      <c r="N19" s="25"/>
      <c r="O19" s="14">
        <f>+SUM(D16:D19)</f>
        <v>36</v>
      </c>
      <c r="P19" s="14">
        <f>+SUM(E16:E19)</f>
        <v>42</v>
      </c>
      <c r="Q19" s="38">
        <f>+P19/O19</f>
        <v>1.1666666666666667</v>
      </c>
      <c r="R19" s="14">
        <f>+SUM(G16:G19)</f>
        <v>31</v>
      </c>
      <c r="S19" s="38">
        <f>+R19/O19</f>
        <v>0.86111111111111116</v>
      </c>
      <c r="T19" s="14">
        <f>+SUM(I16:I19)</f>
        <v>1</v>
      </c>
      <c r="U19" s="38">
        <f>+T19/O19</f>
        <v>2.7777777777777776E-2</v>
      </c>
      <c r="V19" s="14">
        <f>+SUM(K16:K19)</f>
        <v>1</v>
      </c>
      <c r="W19" s="172">
        <f>+V19/O19</f>
        <v>2.7777777777777776E-2</v>
      </c>
    </row>
    <row r="20" spans="1:25" x14ac:dyDescent="0.15">
      <c r="A20" s="142" t="s">
        <v>212</v>
      </c>
      <c r="B20" s="37">
        <v>0.47013888888888888</v>
      </c>
      <c r="C20" s="37">
        <v>0.47638888888888892</v>
      </c>
      <c r="D20" s="14">
        <v>9</v>
      </c>
      <c r="E20" s="170">
        <v>8</v>
      </c>
      <c r="F20" s="38">
        <f t="shared" si="0"/>
        <v>0.88888888888888884</v>
      </c>
      <c r="G20" s="14">
        <v>3</v>
      </c>
      <c r="H20" s="38">
        <f t="shared" si="1"/>
        <v>0.33333333333333331</v>
      </c>
      <c r="I20" s="14">
        <v>0</v>
      </c>
      <c r="J20" s="38">
        <f t="shared" si="2"/>
        <v>0</v>
      </c>
      <c r="K20" s="14">
        <v>0</v>
      </c>
      <c r="L20" s="25">
        <f t="shared" si="3"/>
        <v>0</v>
      </c>
      <c r="M20" s="25"/>
      <c r="N20" s="25"/>
      <c r="O20" s="14"/>
      <c r="P20" s="14" t="s">
        <v>18</v>
      </c>
      <c r="Q20" s="14"/>
      <c r="R20" s="14"/>
      <c r="S20" s="14"/>
      <c r="T20" s="14"/>
      <c r="U20" s="14"/>
      <c r="V20" s="14"/>
      <c r="W20" s="136"/>
    </row>
    <row r="21" spans="1:25" x14ac:dyDescent="0.15">
      <c r="A21" s="94"/>
      <c r="B21" s="37">
        <v>0.49236111111111108</v>
      </c>
      <c r="C21" s="37">
        <v>0.49861111111111112</v>
      </c>
      <c r="D21" s="14">
        <v>9</v>
      </c>
      <c r="E21" s="170">
        <v>0</v>
      </c>
      <c r="F21" s="38">
        <f t="shared" si="0"/>
        <v>0</v>
      </c>
      <c r="G21" s="14">
        <v>3</v>
      </c>
      <c r="H21" s="38">
        <f t="shared" si="1"/>
        <v>0.33333333333333331</v>
      </c>
      <c r="I21" s="14">
        <v>0</v>
      </c>
      <c r="J21" s="38">
        <f t="shared" si="2"/>
        <v>0</v>
      </c>
      <c r="K21" s="14">
        <v>2</v>
      </c>
      <c r="L21" s="25">
        <f t="shared" si="3"/>
        <v>0.22222222222222221</v>
      </c>
      <c r="M21" s="25"/>
      <c r="N21" s="25"/>
      <c r="O21" s="14"/>
      <c r="P21" s="14"/>
      <c r="Q21" s="14"/>
      <c r="R21" s="14" t="s">
        <v>18</v>
      </c>
      <c r="S21" s="14"/>
      <c r="T21" s="14"/>
      <c r="U21" s="14"/>
      <c r="V21" s="14"/>
      <c r="W21" s="136"/>
    </row>
    <row r="22" spans="1:25" x14ac:dyDescent="0.15">
      <c r="A22" s="94"/>
      <c r="B22" s="37">
        <v>0.51875000000000004</v>
      </c>
      <c r="C22" s="37">
        <v>0.52500000000000002</v>
      </c>
      <c r="D22" s="14">
        <v>9</v>
      </c>
      <c r="E22" s="170">
        <v>6</v>
      </c>
      <c r="F22" s="38">
        <f t="shared" si="0"/>
        <v>0.66666666666666663</v>
      </c>
      <c r="G22" s="14">
        <v>4</v>
      </c>
      <c r="H22" s="38">
        <f t="shared" si="1"/>
        <v>0.44444444444444442</v>
      </c>
      <c r="I22" s="14">
        <v>2</v>
      </c>
      <c r="J22" s="38">
        <f t="shared" si="2"/>
        <v>0.22222222222222221</v>
      </c>
      <c r="K22" s="14">
        <v>0</v>
      </c>
      <c r="L22" s="25">
        <f t="shared" si="3"/>
        <v>0</v>
      </c>
      <c r="M22" s="25"/>
      <c r="N22" s="25"/>
      <c r="O22" s="14"/>
      <c r="P22" s="14"/>
      <c r="Q22" s="14" t="s">
        <v>18</v>
      </c>
      <c r="R22" s="14"/>
      <c r="S22" s="14"/>
      <c r="T22" s="14"/>
      <c r="U22" s="14"/>
      <c r="V22" s="14"/>
      <c r="W22" s="136"/>
    </row>
    <row r="23" spans="1:25" x14ac:dyDescent="0.15">
      <c r="A23" s="94"/>
      <c r="B23" s="37">
        <v>0.54143518518518519</v>
      </c>
      <c r="C23" s="37">
        <v>0.54768518518518516</v>
      </c>
      <c r="D23" s="14">
        <v>9</v>
      </c>
      <c r="E23" s="170">
        <v>3</v>
      </c>
      <c r="F23" s="38">
        <f t="shared" si="0"/>
        <v>0.33333333333333331</v>
      </c>
      <c r="G23" s="14">
        <v>9</v>
      </c>
      <c r="H23" s="38">
        <f t="shared" si="1"/>
        <v>1</v>
      </c>
      <c r="I23" s="14">
        <v>1</v>
      </c>
      <c r="J23" s="38">
        <f t="shared" si="2"/>
        <v>0.1111111111111111</v>
      </c>
      <c r="K23" s="14">
        <v>1</v>
      </c>
      <c r="L23" s="25">
        <f t="shared" si="3"/>
        <v>0.1111111111111111</v>
      </c>
      <c r="M23" s="25"/>
      <c r="N23" s="25"/>
      <c r="O23" s="14">
        <f>+SUM(D20:D23)</f>
        <v>36</v>
      </c>
      <c r="P23" s="14">
        <f>+SUM(E20:E23)</f>
        <v>17</v>
      </c>
      <c r="Q23" s="38">
        <f>+P23/O23</f>
        <v>0.47222222222222221</v>
      </c>
      <c r="R23" s="14">
        <f>+SUM(G20:G23)</f>
        <v>19</v>
      </c>
      <c r="S23" s="38">
        <f>+R23/O23</f>
        <v>0.52777777777777779</v>
      </c>
      <c r="T23" s="14">
        <f>+SUM(I20:I23)</f>
        <v>3</v>
      </c>
      <c r="U23" s="38">
        <f>+T23/O23</f>
        <v>8.3333333333333329E-2</v>
      </c>
      <c r="V23" s="14">
        <f>+SUM(K20:K23)</f>
        <v>3</v>
      </c>
      <c r="W23" s="172">
        <f>+V23/O23</f>
        <v>8.3333333333333329E-2</v>
      </c>
    </row>
    <row r="24" spans="1:25" x14ac:dyDescent="0.15">
      <c r="A24" s="142" t="s">
        <v>15</v>
      </c>
      <c r="B24" s="37">
        <v>0.47916666666666669</v>
      </c>
      <c r="C24" s="37">
        <v>0.48541666666666666</v>
      </c>
      <c r="D24" s="14">
        <v>9</v>
      </c>
      <c r="E24" s="170">
        <v>14</v>
      </c>
      <c r="F24" s="38">
        <f t="shared" si="0"/>
        <v>1.5555555555555556</v>
      </c>
      <c r="G24" s="14">
        <v>7</v>
      </c>
      <c r="H24" s="38">
        <f t="shared" si="1"/>
        <v>0.77777777777777779</v>
      </c>
      <c r="I24" s="14">
        <v>0</v>
      </c>
      <c r="J24" s="38">
        <f t="shared" si="2"/>
        <v>0</v>
      </c>
      <c r="K24" s="14">
        <v>1</v>
      </c>
      <c r="L24" s="25">
        <f t="shared" si="3"/>
        <v>0.1111111111111111</v>
      </c>
      <c r="M24" s="25"/>
      <c r="N24" s="25"/>
      <c r="O24" s="14"/>
      <c r="P24" s="14"/>
      <c r="Q24" s="14"/>
      <c r="R24" s="14"/>
      <c r="S24" s="14"/>
      <c r="T24" s="14"/>
      <c r="U24" s="14"/>
      <c r="V24" s="14"/>
      <c r="W24" s="136"/>
      <c r="Y24" t="s">
        <v>18</v>
      </c>
    </row>
    <row r="25" spans="1:25" x14ac:dyDescent="0.15">
      <c r="A25" s="94"/>
      <c r="B25" s="37">
        <v>0.50104166666666672</v>
      </c>
      <c r="C25" s="37">
        <v>0.5072916666666667</v>
      </c>
      <c r="D25" s="14">
        <v>9</v>
      </c>
      <c r="E25" s="170">
        <v>12</v>
      </c>
      <c r="F25" s="38">
        <f t="shared" si="0"/>
        <v>1.3333333333333333</v>
      </c>
      <c r="G25" s="14">
        <v>14</v>
      </c>
      <c r="H25" s="38">
        <f t="shared" ref="H25:H31" si="4">+G25/D25</f>
        <v>1.5555555555555556</v>
      </c>
      <c r="I25" s="14">
        <v>0</v>
      </c>
      <c r="J25" s="38">
        <f t="shared" ref="J25:J31" si="5">+I25/D25</f>
        <v>0</v>
      </c>
      <c r="K25" s="14">
        <v>0</v>
      </c>
      <c r="L25" s="25">
        <f t="shared" ref="L25:L31" si="6">+K25/D25</f>
        <v>0</v>
      </c>
      <c r="M25" s="25"/>
      <c r="N25" s="25"/>
      <c r="O25" s="14"/>
      <c r="P25" s="14"/>
      <c r="Q25" s="14"/>
      <c r="R25" s="14"/>
      <c r="S25" s="14"/>
      <c r="T25" s="14"/>
      <c r="U25" s="14"/>
      <c r="V25" s="14"/>
      <c r="W25" s="136"/>
    </row>
    <row r="26" spans="1:25" x14ac:dyDescent="0.15">
      <c r="A26" s="94"/>
      <c r="B26" s="37">
        <v>0.52708333333333335</v>
      </c>
      <c r="C26" s="37">
        <v>0.53333333333333333</v>
      </c>
      <c r="D26" s="14">
        <v>9</v>
      </c>
      <c r="E26" s="170">
        <v>16</v>
      </c>
      <c r="F26" s="38">
        <f t="shared" si="0"/>
        <v>1.7777777777777777</v>
      </c>
      <c r="G26" s="14">
        <v>11</v>
      </c>
      <c r="H26" s="38">
        <f t="shared" si="4"/>
        <v>1.2222222222222223</v>
      </c>
      <c r="I26" s="14">
        <v>0</v>
      </c>
      <c r="J26" s="38">
        <f t="shared" si="5"/>
        <v>0</v>
      </c>
      <c r="K26" s="14">
        <v>0</v>
      </c>
      <c r="L26" s="25">
        <f t="shared" si="6"/>
        <v>0</v>
      </c>
      <c r="M26" s="25"/>
      <c r="N26" s="25" t="s">
        <v>18</v>
      </c>
      <c r="O26" s="14"/>
      <c r="P26" s="14" t="s">
        <v>18</v>
      </c>
      <c r="Q26" s="14"/>
      <c r="R26" s="14"/>
      <c r="S26" s="14"/>
      <c r="T26" s="14"/>
      <c r="U26" s="14"/>
      <c r="V26" s="14"/>
      <c r="W26" s="136"/>
    </row>
    <row r="27" spans="1:25" x14ac:dyDescent="0.15">
      <c r="A27" s="94"/>
      <c r="B27" s="37">
        <v>0.54971064814814818</v>
      </c>
      <c r="C27" s="37">
        <v>0.55596064814814816</v>
      </c>
      <c r="D27" s="14">
        <v>9</v>
      </c>
      <c r="E27" s="170">
        <v>21</v>
      </c>
      <c r="F27" s="38">
        <f t="shared" si="0"/>
        <v>2.3333333333333335</v>
      </c>
      <c r="G27" s="14">
        <v>13</v>
      </c>
      <c r="H27" s="38">
        <f t="shared" si="4"/>
        <v>1.4444444444444444</v>
      </c>
      <c r="I27" s="14">
        <v>1</v>
      </c>
      <c r="J27" s="38">
        <f t="shared" si="5"/>
        <v>0.1111111111111111</v>
      </c>
      <c r="K27" s="14">
        <v>0</v>
      </c>
      <c r="L27" s="25">
        <f t="shared" si="6"/>
        <v>0</v>
      </c>
      <c r="M27" s="25"/>
      <c r="N27" s="25"/>
      <c r="O27" s="14">
        <f>+SUM(D24:D27)</f>
        <v>36</v>
      </c>
      <c r="P27" s="14">
        <f>+SUM(E24:E27)</f>
        <v>63</v>
      </c>
      <c r="Q27" s="38">
        <f>+P27/O27</f>
        <v>1.75</v>
      </c>
      <c r="R27" s="14">
        <f>+SUM(G24:G27)</f>
        <v>45</v>
      </c>
      <c r="S27" s="38">
        <f>+R27/O27</f>
        <v>1.25</v>
      </c>
      <c r="T27" s="14">
        <f>+SUM(I24:I27)</f>
        <v>1</v>
      </c>
      <c r="U27" s="38">
        <f>+T27/O27</f>
        <v>2.7777777777777776E-2</v>
      </c>
      <c r="V27" s="14">
        <f>+SUM(K24:K27)</f>
        <v>1</v>
      </c>
      <c r="W27" s="172">
        <f>+V27/O27</f>
        <v>2.7777777777777776E-2</v>
      </c>
    </row>
    <row r="28" spans="1:25" x14ac:dyDescent="0.15">
      <c r="A28" s="142" t="s">
        <v>55</v>
      </c>
      <c r="B28" s="37">
        <v>0.48680555555555555</v>
      </c>
      <c r="C28" s="37">
        <v>0.49305555555555558</v>
      </c>
      <c r="D28" s="14">
        <v>9</v>
      </c>
      <c r="E28" s="170">
        <v>29</v>
      </c>
      <c r="F28" s="38">
        <f t="shared" si="0"/>
        <v>3.2222222222222223</v>
      </c>
      <c r="G28" s="14">
        <v>17</v>
      </c>
      <c r="H28" s="38">
        <f t="shared" si="4"/>
        <v>1.8888888888888888</v>
      </c>
      <c r="I28" s="14">
        <v>1</v>
      </c>
      <c r="J28" s="38">
        <f t="shared" si="5"/>
        <v>0.1111111111111111</v>
      </c>
      <c r="K28" s="14">
        <v>0</v>
      </c>
      <c r="L28" s="25">
        <f t="shared" si="6"/>
        <v>0</v>
      </c>
      <c r="M28" s="25"/>
      <c r="N28" s="25"/>
      <c r="O28" s="14"/>
      <c r="P28" s="14"/>
      <c r="Q28" s="14"/>
      <c r="R28" s="14"/>
      <c r="S28" s="14"/>
      <c r="T28" s="14"/>
      <c r="U28" s="14"/>
      <c r="V28" s="14"/>
      <c r="W28" s="136"/>
    </row>
    <row r="29" spans="1:25" x14ac:dyDescent="0.15">
      <c r="A29" s="94"/>
      <c r="B29" s="37">
        <v>0.50972222222222219</v>
      </c>
      <c r="C29" s="37">
        <v>0.51597222222222217</v>
      </c>
      <c r="D29" s="14">
        <v>9</v>
      </c>
      <c r="E29" s="170">
        <v>17</v>
      </c>
      <c r="F29" s="38">
        <f t="shared" si="0"/>
        <v>1.8888888888888888</v>
      </c>
      <c r="G29" s="14">
        <v>14</v>
      </c>
      <c r="H29" s="38">
        <f t="shared" si="4"/>
        <v>1.5555555555555556</v>
      </c>
      <c r="I29" s="14">
        <v>1</v>
      </c>
      <c r="J29" s="38">
        <f t="shared" si="5"/>
        <v>0.1111111111111111</v>
      </c>
      <c r="K29" s="14">
        <v>0</v>
      </c>
      <c r="L29" s="25">
        <f t="shared" si="6"/>
        <v>0</v>
      </c>
      <c r="M29" s="25"/>
      <c r="N29" s="25"/>
      <c r="O29" s="14"/>
      <c r="P29" s="14"/>
      <c r="Q29" s="14"/>
      <c r="R29" s="14" t="s">
        <v>18</v>
      </c>
      <c r="S29" s="14"/>
      <c r="T29" s="14"/>
      <c r="U29" s="14"/>
      <c r="V29" s="14"/>
      <c r="W29" s="136"/>
    </row>
    <row r="30" spans="1:25" x14ac:dyDescent="0.15">
      <c r="A30" s="94"/>
      <c r="B30" s="37">
        <v>0.53611111111111109</v>
      </c>
      <c r="C30" s="37">
        <v>0.54236111111111118</v>
      </c>
      <c r="D30" s="14">
        <v>9</v>
      </c>
      <c r="E30" s="170">
        <v>15</v>
      </c>
      <c r="F30" s="38">
        <f t="shared" si="0"/>
        <v>1.6666666666666667</v>
      </c>
      <c r="G30" s="14">
        <v>18</v>
      </c>
      <c r="H30" s="38">
        <f t="shared" si="4"/>
        <v>2</v>
      </c>
      <c r="I30" s="14">
        <v>0</v>
      </c>
      <c r="J30" s="38">
        <f t="shared" si="5"/>
        <v>0</v>
      </c>
      <c r="K30" s="14">
        <v>1</v>
      </c>
      <c r="L30" s="25">
        <f t="shared" si="6"/>
        <v>0.1111111111111111</v>
      </c>
      <c r="M30" s="25"/>
      <c r="N30" s="25"/>
      <c r="O30" s="14"/>
      <c r="P30" s="14"/>
      <c r="Q30" s="14"/>
      <c r="R30" s="14"/>
      <c r="S30" s="14"/>
      <c r="T30" s="14"/>
      <c r="U30" s="14"/>
      <c r="V30" s="14"/>
      <c r="W30" s="136"/>
    </row>
    <row r="31" spans="1:25" ht="14" thickBot="1" x14ac:dyDescent="0.2">
      <c r="A31" s="94"/>
      <c r="B31" s="37">
        <v>0.55943287037037037</v>
      </c>
      <c r="C31" s="37">
        <v>0.56568287037037035</v>
      </c>
      <c r="D31" s="14">
        <v>9</v>
      </c>
      <c r="E31" s="170">
        <v>20</v>
      </c>
      <c r="F31" s="38">
        <f t="shared" si="0"/>
        <v>2.2222222222222223</v>
      </c>
      <c r="G31" s="14">
        <v>12</v>
      </c>
      <c r="H31" s="38">
        <f t="shared" si="4"/>
        <v>1.3333333333333333</v>
      </c>
      <c r="I31" s="14">
        <v>0</v>
      </c>
      <c r="J31" s="38">
        <f t="shared" si="5"/>
        <v>0</v>
      </c>
      <c r="K31" s="14">
        <v>0</v>
      </c>
      <c r="L31" s="25">
        <f t="shared" si="6"/>
        <v>0</v>
      </c>
      <c r="M31" s="25"/>
      <c r="N31" s="25"/>
      <c r="O31" s="14">
        <f>+SUM(D28:D31)</f>
        <v>36</v>
      </c>
      <c r="P31" s="14">
        <f>+SUM(E28:E31)</f>
        <v>81</v>
      </c>
      <c r="Q31" s="38">
        <f>+P31/O31</f>
        <v>2.25</v>
      </c>
      <c r="R31" s="14">
        <f>+SUM(G28:G31)</f>
        <v>61</v>
      </c>
      <c r="S31" s="38">
        <f>+R31/O31</f>
        <v>1.6944444444444444</v>
      </c>
      <c r="T31" s="14">
        <f>+SUM(I28:I31)</f>
        <v>2</v>
      </c>
      <c r="U31" s="38">
        <f>+T31/O31</f>
        <v>5.5555555555555552E-2</v>
      </c>
      <c r="V31" s="14">
        <f>+SUM(K28:K31)</f>
        <v>1</v>
      </c>
      <c r="W31" s="172">
        <f>+V31/O31</f>
        <v>2.7777777777777776E-2</v>
      </c>
    </row>
    <row r="32" spans="1:25" ht="14" thickBot="1" x14ac:dyDescent="0.2">
      <c r="A32" s="502" t="s">
        <v>217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329" t="s">
        <v>214</v>
      </c>
      <c r="O32" s="98">
        <f>SUM(O8:O31)</f>
        <v>216</v>
      </c>
      <c r="P32" s="98">
        <f>SUM(P8:P31)</f>
        <v>357</v>
      </c>
      <c r="Q32" s="102">
        <f>+P32/O32</f>
        <v>1.6527777777777777</v>
      </c>
      <c r="R32" s="98">
        <f>SUM(R8:R31)</f>
        <v>364</v>
      </c>
      <c r="S32" s="102">
        <f>+R32/O32</f>
        <v>1.6851851851851851</v>
      </c>
      <c r="T32" s="98">
        <f>SUM(T8:T31)</f>
        <v>14</v>
      </c>
      <c r="U32" s="102">
        <f>+T32/O32</f>
        <v>6.4814814814814811E-2</v>
      </c>
      <c r="V32" s="98">
        <f>SUM(V8:V31)</f>
        <v>14</v>
      </c>
      <c r="W32" s="294">
        <f>+V32/O32</f>
        <v>6.4814814814814811E-2</v>
      </c>
    </row>
    <row r="33" spans="1:23" x14ac:dyDescent="0.15">
      <c r="A33" s="55" t="s">
        <v>202</v>
      </c>
      <c r="B33" s="37">
        <v>0.66909722222222223</v>
      </c>
      <c r="C33" s="37">
        <v>0.67534722222222221</v>
      </c>
      <c r="D33" s="14">
        <v>9</v>
      </c>
      <c r="E33" s="14">
        <v>20</v>
      </c>
      <c r="F33" s="38">
        <f t="shared" ref="F33:F59" si="7">+E33/D33</f>
        <v>2.2222222222222223</v>
      </c>
      <c r="G33" s="14">
        <v>48</v>
      </c>
      <c r="H33" s="38">
        <f t="shared" ref="H33:H57" si="8">+G33/D33</f>
        <v>5.333333333333333</v>
      </c>
      <c r="I33" s="14">
        <v>1</v>
      </c>
      <c r="J33" s="38">
        <f t="shared" ref="J33:J57" si="9">+I33/D33</f>
        <v>0.1111111111111111</v>
      </c>
      <c r="K33" s="14">
        <v>1</v>
      </c>
      <c r="L33" s="25">
        <f t="shared" ref="L33:L57" si="10">+K33/D33</f>
        <v>0.1111111111111111</v>
      </c>
      <c r="M33" s="25"/>
      <c r="N33" s="14"/>
      <c r="O33" s="14"/>
      <c r="P33" s="14"/>
      <c r="Q33" s="14"/>
      <c r="R33" s="14"/>
      <c r="S33" s="14"/>
      <c r="T33" s="14"/>
      <c r="U33" s="14"/>
      <c r="V33" s="14"/>
      <c r="W33" s="136"/>
    </row>
    <row r="34" spans="1:23" x14ac:dyDescent="0.15">
      <c r="A34" s="55"/>
      <c r="B34" s="37">
        <v>0.70277777777777783</v>
      </c>
      <c r="C34" s="37">
        <v>0.7090277777777777</v>
      </c>
      <c r="D34" s="14">
        <v>9</v>
      </c>
      <c r="E34" s="14">
        <v>29</v>
      </c>
      <c r="F34" s="38">
        <f t="shared" si="7"/>
        <v>3.2222222222222223</v>
      </c>
      <c r="G34" s="14">
        <v>43</v>
      </c>
      <c r="H34" s="38">
        <f t="shared" si="8"/>
        <v>4.7777777777777777</v>
      </c>
      <c r="I34" s="14">
        <v>1</v>
      </c>
      <c r="J34" s="38">
        <f t="shared" si="9"/>
        <v>0.1111111111111111</v>
      </c>
      <c r="K34" s="14">
        <v>3</v>
      </c>
      <c r="L34" s="25">
        <f t="shared" si="10"/>
        <v>0.33333333333333331</v>
      </c>
      <c r="M34" s="25"/>
      <c r="N34" s="14"/>
      <c r="O34" s="14"/>
      <c r="P34" s="14" t="s">
        <v>18</v>
      </c>
      <c r="Q34" s="14" t="s">
        <v>18</v>
      </c>
      <c r="R34" s="14"/>
      <c r="S34" s="14" t="s">
        <v>18</v>
      </c>
      <c r="T34" s="14" t="s">
        <v>18</v>
      </c>
      <c r="U34" s="14" t="s">
        <v>18</v>
      </c>
      <c r="V34" s="14"/>
      <c r="W34" s="136"/>
    </row>
    <row r="35" spans="1:23" x14ac:dyDescent="0.15">
      <c r="A35" s="94"/>
      <c r="B35" s="37">
        <v>0.72291666666666676</v>
      </c>
      <c r="C35" s="37">
        <v>0.72916666666666663</v>
      </c>
      <c r="D35" s="14">
        <v>9</v>
      </c>
      <c r="E35" s="14">
        <v>33</v>
      </c>
      <c r="F35" s="38">
        <f t="shared" si="7"/>
        <v>3.6666666666666665</v>
      </c>
      <c r="G35" s="14">
        <v>57</v>
      </c>
      <c r="H35" s="38">
        <f t="shared" si="8"/>
        <v>6.333333333333333</v>
      </c>
      <c r="I35" s="14">
        <v>1</v>
      </c>
      <c r="J35" s="38">
        <f t="shared" si="9"/>
        <v>0.1111111111111111</v>
      </c>
      <c r="K35" s="14">
        <v>1</v>
      </c>
      <c r="L35" s="25">
        <f t="shared" si="10"/>
        <v>0.1111111111111111</v>
      </c>
      <c r="M35" s="25"/>
      <c r="N35" s="14"/>
      <c r="O35" s="14"/>
      <c r="P35" s="14"/>
      <c r="Q35" s="14"/>
      <c r="R35" s="14"/>
      <c r="S35" s="14"/>
      <c r="T35" s="14"/>
      <c r="U35" s="14"/>
      <c r="V35" s="14"/>
      <c r="W35" s="136"/>
    </row>
    <row r="36" spans="1:23" x14ac:dyDescent="0.15">
      <c r="A36" s="94"/>
      <c r="B36" s="36">
        <v>0.75624999999999998</v>
      </c>
      <c r="C36" s="37">
        <v>0.76249999999999996</v>
      </c>
      <c r="D36" s="14">
        <v>9</v>
      </c>
      <c r="E36" s="14">
        <v>40</v>
      </c>
      <c r="F36" s="38">
        <f t="shared" si="7"/>
        <v>4.4444444444444446</v>
      </c>
      <c r="G36" s="14">
        <v>77</v>
      </c>
      <c r="H36" s="38">
        <f t="shared" si="8"/>
        <v>8.5555555555555554</v>
      </c>
      <c r="I36" s="14">
        <v>0</v>
      </c>
      <c r="J36" s="38">
        <f t="shared" si="9"/>
        <v>0</v>
      </c>
      <c r="K36" s="14">
        <v>2</v>
      </c>
      <c r="L36" s="25">
        <f t="shared" si="10"/>
        <v>0.22222222222222221</v>
      </c>
      <c r="M36" s="25"/>
      <c r="N36" s="14"/>
      <c r="O36" s="14">
        <f>+SUM(D33:D36)</f>
        <v>36</v>
      </c>
      <c r="P36" s="14">
        <f>+SUM(E33:E36)</f>
        <v>122</v>
      </c>
      <c r="Q36" s="38">
        <f>+P36/O36</f>
        <v>3.3888888888888888</v>
      </c>
      <c r="R36" s="14">
        <f>+SUM(G33:G36)</f>
        <v>225</v>
      </c>
      <c r="S36" s="38">
        <f>+R36/O36</f>
        <v>6.25</v>
      </c>
      <c r="T36" s="14">
        <f>+SUM(I33:I36)</f>
        <v>3</v>
      </c>
      <c r="U36" s="38">
        <f>+T36/O36</f>
        <v>8.3333333333333329E-2</v>
      </c>
      <c r="V36" s="14">
        <f>+SUM(K33:K36)</f>
        <v>7</v>
      </c>
      <c r="W36" s="172">
        <f>+V36/O36</f>
        <v>0.19444444444444445</v>
      </c>
    </row>
    <row r="37" spans="1:23" x14ac:dyDescent="0.15">
      <c r="A37" s="142" t="s">
        <v>211</v>
      </c>
      <c r="B37" s="37">
        <v>0.6787037037037037</v>
      </c>
      <c r="C37" s="37">
        <v>0.68495370370370379</v>
      </c>
      <c r="D37" s="14">
        <v>9</v>
      </c>
      <c r="E37" s="14">
        <v>12</v>
      </c>
      <c r="F37" s="38">
        <f t="shared" si="7"/>
        <v>1.3333333333333333</v>
      </c>
      <c r="G37" s="14">
        <v>24</v>
      </c>
      <c r="H37" s="38">
        <f t="shared" si="8"/>
        <v>2.6666666666666665</v>
      </c>
      <c r="I37" s="14">
        <v>0</v>
      </c>
      <c r="J37" s="38">
        <f t="shared" si="9"/>
        <v>0</v>
      </c>
      <c r="K37" s="14">
        <v>0</v>
      </c>
      <c r="L37" s="25">
        <f t="shared" si="10"/>
        <v>0</v>
      </c>
      <c r="M37" s="25"/>
      <c r="N37" s="14"/>
      <c r="O37" s="14"/>
      <c r="P37" s="14"/>
      <c r="Q37" s="14"/>
      <c r="R37" s="14"/>
      <c r="S37" s="14"/>
      <c r="T37" s="14"/>
      <c r="U37" s="14"/>
      <c r="V37" s="14"/>
      <c r="W37" s="136"/>
    </row>
    <row r="38" spans="1:23" x14ac:dyDescent="0.15">
      <c r="A38" s="94"/>
      <c r="B38" s="37">
        <v>0.71180555555555547</v>
      </c>
      <c r="C38" s="37">
        <v>0.71805555555555556</v>
      </c>
      <c r="D38" s="14">
        <v>9</v>
      </c>
      <c r="E38" s="14">
        <v>8</v>
      </c>
      <c r="F38" s="38">
        <f t="shared" si="7"/>
        <v>0.88888888888888884</v>
      </c>
      <c r="G38" s="14">
        <v>21</v>
      </c>
      <c r="H38" s="38">
        <f t="shared" si="8"/>
        <v>2.3333333333333335</v>
      </c>
      <c r="I38" s="14">
        <v>0</v>
      </c>
      <c r="J38" s="38">
        <f t="shared" si="9"/>
        <v>0</v>
      </c>
      <c r="K38" s="14">
        <v>0</v>
      </c>
      <c r="L38" s="25">
        <f t="shared" si="10"/>
        <v>0</v>
      </c>
      <c r="M38" s="25"/>
      <c r="N38" s="14"/>
      <c r="O38" s="14"/>
      <c r="P38" s="14"/>
      <c r="Q38" s="14"/>
      <c r="R38" s="14" t="s">
        <v>18</v>
      </c>
      <c r="S38" s="14"/>
      <c r="T38" s="14"/>
      <c r="U38" s="14"/>
      <c r="V38" s="14"/>
      <c r="W38" s="136"/>
    </row>
    <row r="39" spans="1:23" x14ac:dyDescent="0.15">
      <c r="A39" s="94"/>
      <c r="B39" s="37">
        <v>0.73263888888888884</v>
      </c>
      <c r="C39" s="37">
        <v>0.73888888888888893</v>
      </c>
      <c r="D39" s="14">
        <v>9</v>
      </c>
      <c r="E39" s="14">
        <v>9</v>
      </c>
      <c r="F39" s="38">
        <f t="shared" si="7"/>
        <v>1</v>
      </c>
      <c r="G39" s="14">
        <v>9</v>
      </c>
      <c r="H39" s="38">
        <f t="shared" si="8"/>
        <v>1</v>
      </c>
      <c r="I39" s="14">
        <v>0</v>
      </c>
      <c r="J39" s="38">
        <f t="shared" si="9"/>
        <v>0</v>
      </c>
      <c r="K39" s="14">
        <v>1</v>
      </c>
      <c r="L39" s="25">
        <f t="shared" si="10"/>
        <v>0.1111111111111111</v>
      </c>
      <c r="M39" s="25"/>
      <c r="N39" s="14"/>
      <c r="O39" s="14"/>
      <c r="P39" s="14"/>
      <c r="Q39" s="14"/>
      <c r="R39" s="14"/>
      <c r="S39" s="14"/>
      <c r="T39" s="14"/>
      <c r="U39" s="14"/>
      <c r="V39" s="81"/>
      <c r="W39" s="136"/>
    </row>
    <row r="40" spans="1:23" x14ac:dyDescent="0.15">
      <c r="A40" s="94"/>
      <c r="B40" s="37">
        <v>0.76458333333333339</v>
      </c>
      <c r="C40" s="37">
        <v>0.77083333333333337</v>
      </c>
      <c r="D40" s="14">
        <v>9</v>
      </c>
      <c r="E40" s="14">
        <v>16</v>
      </c>
      <c r="F40" s="38">
        <f t="shared" si="7"/>
        <v>1.7777777777777777</v>
      </c>
      <c r="G40" s="14">
        <v>12</v>
      </c>
      <c r="H40" s="38">
        <f t="shared" si="8"/>
        <v>1.3333333333333333</v>
      </c>
      <c r="I40" s="14">
        <v>2</v>
      </c>
      <c r="J40" s="38">
        <f t="shared" si="9"/>
        <v>0.22222222222222221</v>
      </c>
      <c r="K40" s="14">
        <v>0</v>
      </c>
      <c r="L40" s="25">
        <f t="shared" si="10"/>
        <v>0</v>
      </c>
      <c r="M40" s="25"/>
      <c r="N40" s="14" t="s">
        <v>18</v>
      </c>
      <c r="O40" s="14">
        <f>+SUM(D37:D40)</f>
        <v>36</v>
      </c>
      <c r="P40" s="14">
        <f>+SUM(E37:E40)</f>
        <v>45</v>
      </c>
      <c r="Q40" s="38">
        <f>+P40/O40</f>
        <v>1.25</v>
      </c>
      <c r="R40" s="14">
        <f>+SUM(G37:G40)</f>
        <v>66</v>
      </c>
      <c r="S40" s="38">
        <f>+R40/O40</f>
        <v>1.8333333333333333</v>
      </c>
      <c r="T40" s="14">
        <f>+SUM(I37:I40)</f>
        <v>2</v>
      </c>
      <c r="U40" s="38">
        <f>+T40/O40</f>
        <v>5.5555555555555552E-2</v>
      </c>
      <c r="V40" s="14">
        <f>+SUM(K37:K40)</f>
        <v>1</v>
      </c>
      <c r="W40" s="172">
        <f>+V40/O40</f>
        <v>2.7777777777777776E-2</v>
      </c>
    </row>
    <row r="41" spans="1:23" x14ac:dyDescent="0.15">
      <c r="A41" s="142" t="s">
        <v>60</v>
      </c>
      <c r="B41" s="37">
        <v>0.68819444444444444</v>
      </c>
      <c r="C41" s="37">
        <v>0.69444444444444453</v>
      </c>
      <c r="D41" s="14">
        <v>9</v>
      </c>
      <c r="E41" s="14">
        <v>21</v>
      </c>
      <c r="F41" s="38">
        <f t="shared" si="7"/>
        <v>2.3333333333333335</v>
      </c>
      <c r="G41" s="14">
        <v>10</v>
      </c>
      <c r="H41" s="38">
        <f t="shared" si="8"/>
        <v>1.1111111111111112</v>
      </c>
      <c r="I41" s="14">
        <v>0</v>
      </c>
      <c r="J41" s="38">
        <f t="shared" si="9"/>
        <v>0</v>
      </c>
      <c r="K41" s="14">
        <v>0</v>
      </c>
      <c r="L41" s="25">
        <f t="shared" si="10"/>
        <v>0</v>
      </c>
      <c r="M41" s="25"/>
      <c r="N41" s="14"/>
      <c r="O41" s="14"/>
      <c r="P41" s="14"/>
      <c r="Q41" s="14"/>
      <c r="R41" s="14"/>
      <c r="S41" s="14"/>
      <c r="T41" s="14"/>
      <c r="U41" s="14"/>
      <c r="V41" s="14"/>
      <c r="W41" s="136"/>
    </row>
    <row r="42" spans="1:23" x14ac:dyDescent="0.15">
      <c r="A42" s="94"/>
      <c r="B42" s="37">
        <v>0.72013888888888899</v>
      </c>
      <c r="C42" s="37">
        <v>0.72638888888888886</v>
      </c>
      <c r="D42" s="14">
        <v>9</v>
      </c>
      <c r="E42" s="14">
        <v>14</v>
      </c>
      <c r="F42" s="38">
        <f t="shared" si="7"/>
        <v>1.5555555555555556</v>
      </c>
      <c r="G42" s="14">
        <v>23</v>
      </c>
      <c r="H42" s="38">
        <f t="shared" si="8"/>
        <v>2.5555555555555554</v>
      </c>
      <c r="I42" s="14">
        <v>2</v>
      </c>
      <c r="J42" s="38">
        <f t="shared" si="9"/>
        <v>0.22222222222222221</v>
      </c>
      <c r="K42" s="14">
        <v>0</v>
      </c>
      <c r="L42" s="25">
        <f t="shared" si="10"/>
        <v>0</v>
      </c>
      <c r="M42" s="25"/>
      <c r="N42" s="14"/>
      <c r="O42" s="14"/>
      <c r="P42" s="14"/>
      <c r="Q42" s="14" t="s">
        <v>18</v>
      </c>
      <c r="R42" s="14"/>
      <c r="S42" s="14"/>
      <c r="T42" s="14"/>
      <c r="U42" s="14"/>
      <c r="V42" s="14"/>
      <c r="W42" s="136"/>
    </row>
    <row r="43" spans="1:23" x14ac:dyDescent="0.15">
      <c r="A43" s="94"/>
      <c r="B43" s="37">
        <v>0.7416666666666667</v>
      </c>
      <c r="C43" s="37">
        <v>0.74791666666666667</v>
      </c>
      <c r="D43" s="14">
        <v>9</v>
      </c>
      <c r="E43" s="14">
        <v>19</v>
      </c>
      <c r="F43" s="38">
        <f t="shared" si="7"/>
        <v>2.1111111111111112</v>
      </c>
      <c r="G43" s="14">
        <v>7</v>
      </c>
      <c r="H43" s="38">
        <f t="shared" si="8"/>
        <v>0.77777777777777779</v>
      </c>
      <c r="I43" s="14">
        <v>1</v>
      </c>
      <c r="J43" s="38">
        <f t="shared" si="9"/>
        <v>0.1111111111111111</v>
      </c>
      <c r="K43" s="14">
        <v>1</v>
      </c>
      <c r="L43" s="25">
        <f t="shared" si="10"/>
        <v>0.1111111111111111</v>
      </c>
      <c r="M43" s="25"/>
      <c r="N43" s="14"/>
      <c r="O43" s="14"/>
      <c r="P43" s="14"/>
      <c r="Q43" s="14"/>
      <c r="R43" s="14"/>
      <c r="S43" s="14"/>
      <c r="T43" s="14"/>
      <c r="U43" s="14"/>
      <c r="V43" s="14"/>
      <c r="W43" s="136"/>
    </row>
    <row r="44" spans="1:23" x14ac:dyDescent="0.15">
      <c r="A44" s="94"/>
      <c r="B44" s="37">
        <v>0.77500000000000002</v>
      </c>
      <c r="C44" s="37">
        <v>0.78125</v>
      </c>
      <c r="D44" s="14">
        <v>9</v>
      </c>
      <c r="E44" s="14">
        <v>16</v>
      </c>
      <c r="F44" s="38">
        <f t="shared" si="7"/>
        <v>1.7777777777777777</v>
      </c>
      <c r="G44" s="14">
        <v>32</v>
      </c>
      <c r="H44" s="38">
        <f t="shared" si="8"/>
        <v>3.5555555555555554</v>
      </c>
      <c r="I44" s="14">
        <v>0</v>
      </c>
      <c r="J44" s="38">
        <f t="shared" si="9"/>
        <v>0</v>
      </c>
      <c r="K44" s="14">
        <v>0</v>
      </c>
      <c r="L44" s="25">
        <f t="shared" si="10"/>
        <v>0</v>
      </c>
      <c r="M44" s="25"/>
      <c r="N44" s="14"/>
      <c r="O44" s="14">
        <f>+SUM(D41:D44)</f>
        <v>36</v>
      </c>
      <c r="P44" s="14">
        <f>+SUM(E41:E44)</f>
        <v>70</v>
      </c>
      <c r="Q44" s="38">
        <f>+P44/O44</f>
        <v>1.9444444444444444</v>
      </c>
      <c r="R44" s="14">
        <f>+SUM(G41:G44)</f>
        <v>72</v>
      </c>
      <c r="S44" s="38">
        <f>+R44/O44</f>
        <v>2</v>
      </c>
      <c r="T44" s="14">
        <f>+SUM(I41:I44)</f>
        <v>3</v>
      </c>
      <c r="U44" s="38">
        <f>+T44/O44</f>
        <v>8.3333333333333329E-2</v>
      </c>
      <c r="V44" s="14">
        <f>+SUM(K41:K44)</f>
        <v>1</v>
      </c>
      <c r="W44" s="172">
        <f>+V44/O44</f>
        <v>2.7777777777777776E-2</v>
      </c>
    </row>
    <row r="45" spans="1:23" x14ac:dyDescent="0.15">
      <c r="A45" s="142" t="s">
        <v>212</v>
      </c>
      <c r="B45" s="37">
        <v>0.6743055555555556</v>
      </c>
      <c r="C45" s="37">
        <v>0.68055555555555547</v>
      </c>
      <c r="D45" s="14">
        <v>9</v>
      </c>
      <c r="E45" s="14">
        <v>6</v>
      </c>
      <c r="F45" s="38">
        <f t="shared" si="7"/>
        <v>0.66666666666666663</v>
      </c>
      <c r="G45" s="14">
        <v>5</v>
      </c>
      <c r="H45" s="38">
        <f t="shared" si="8"/>
        <v>0.55555555555555558</v>
      </c>
      <c r="I45" s="14">
        <v>0</v>
      </c>
      <c r="J45" s="38">
        <f t="shared" si="9"/>
        <v>0</v>
      </c>
      <c r="K45" s="14">
        <v>0</v>
      </c>
      <c r="L45" s="25">
        <f t="shared" si="10"/>
        <v>0</v>
      </c>
      <c r="M45" s="25"/>
      <c r="N45" s="14"/>
      <c r="O45" s="14"/>
      <c r="P45" s="14"/>
      <c r="Q45" s="14"/>
      <c r="R45" s="14"/>
      <c r="S45" s="14"/>
      <c r="T45" s="14"/>
      <c r="U45" s="14"/>
      <c r="V45" s="14"/>
      <c r="W45" s="136"/>
    </row>
    <row r="46" spans="1:23" x14ac:dyDescent="0.15">
      <c r="A46" s="144" t="s">
        <v>18</v>
      </c>
      <c r="B46" s="37">
        <v>0.69930555555555562</v>
      </c>
      <c r="C46" s="37">
        <v>0.7055555555555556</v>
      </c>
      <c r="D46" s="14">
        <v>9</v>
      </c>
      <c r="E46" s="39">
        <v>10</v>
      </c>
      <c r="F46" s="38">
        <f t="shared" si="7"/>
        <v>1.1111111111111112</v>
      </c>
      <c r="G46" s="39">
        <v>12</v>
      </c>
      <c r="H46" s="38">
        <f t="shared" si="8"/>
        <v>1.3333333333333333</v>
      </c>
      <c r="I46" s="14">
        <v>0</v>
      </c>
      <c r="J46" s="38">
        <f t="shared" si="9"/>
        <v>0</v>
      </c>
      <c r="K46" s="14">
        <v>0</v>
      </c>
      <c r="L46" s="25">
        <f t="shared" si="10"/>
        <v>0</v>
      </c>
      <c r="M46" s="25"/>
      <c r="N46" s="14"/>
      <c r="O46" s="14"/>
      <c r="P46" s="14"/>
      <c r="Q46" s="14"/>
      <c r="R46" s="14"/>
      <c r="S46" s="14"/>
      <c r="T46" s="14"/>
      <c r="U46" s="14"/>
      <c r="V46" s="14"/>
      <c r="W46" s="136"/>
    </row>
    <row r="47" spans="1:23" x14ac:dyDescent="0.15">
      <c r="A47" s="94"/>
      <c r="B47" s="37">
        <v>0.7284722222222223</v>
      </c>
      <c r="C47" s="37">
        <v>0.73472222222222217</v>
      </c>
      <c r="D47" s="14">
        <v>9</v>
      </c>
      <c r="E47" s="14">
        <v>5</v>
      </c>
      <c r="F47" s="38">
        <f t="shared" si="7"/>
        <v>0.55555555555555558</v>
      </c>
      <c r="G47" s="14">
        <v>5</v>
      </c>
      <c r="H47" s="38">
        <f t="shared" si="8"/>
        <v>0.55555555555555558</v>
      </c>
      <c r="I47" s="14">
        <v>0</v>
      </c>
      <c r="J47" s="38">
        <f t="shared" si="9"/>
        <v>0</v>
      </c>
      <c r="K47" s="14">
        <v>0</v>
      </c>
      <c r="L47" s="25">
        <f t="shared" si="10"/>
        <v>0</v>
      </c>
      <c r="M47" s="25"/>
      <c r="N47" s="14"/>
      <c r="O47" s="14"/>
      <c r="P47" s="14"/>
      <c r="Q47" s="14"/>
      <c r="R47" s="14"/>
      <c r="S47" s="14"/>
      <c r="T47" s="14"/>
      <c r="U47" s="14"/>
      <c r="V47" s="14"/>
      <c r="W47" s="136"/>
    </row>
    <row r="48" spans="1:23" x14ac:dyDescent="0.15">
      <c r="A48" s="94"/>
      <c r="B48" s="37">
        <v>0.74930555555555556</v>
      </c>
      <c r="C48" s="37">
        <v>0.75555555555555554</v>
      </c>
      <c r="D48" s="14">
        <v>9</v>
      </c>
      <c r="E48" s="14">
        <v>14</v>
      </c>
      <c r="F48" s="38">
        <f t="shared" si="7"/>
        <v>1.5555555555555556</v>
      </c>
      <c r="G48" s="14">
        <v>9</v>
      </c>
      <c r="H48" s="38">
        <f t="shared" si="8"/>
        <v>1</v>
      </c>
      <c r="I48" s="14">
        <v>1</v>
      </c>
      <c r="J48" s="38">
        <f t="shared" si="9"/>
        <v>0.1111111111111111</v>
      </c>
      <c r="K48" s="14">
        <v>0</v>
      </c>
      <c r="L48" s="25">
        <f t="shared" si="10"/>
        <v>0</v>
      </c>
      <c r="M48" s="25"/>
      <c r="N48" s="14"/>
      <c r="O48" s="14">
        <f>+SUM(D45:D48)</f>
        <v>36</v>
      </c>
      <c r="P48" s="14">
        <f>+SUM(E45:E48)</f>
        <v>35</v>
      </c>
      <c r="Q48" s="38">
        <f>+P48/O48</f>
        <v>0.97222222222222221</v>
      </c>
      <c r="R48" s="14">
        <f>+SUM(G45:G48)</f>
        <v>31</v>
      </c>
      <c r="S48" s="38">
        <f>+R48/O48</f>
        <v>0.86111111111111116</v>
      </c>
      <c r="T48" s="14">
        <f>+SUM(I45:I48)</f>
        <v>1</v>
      </c>
      <c r="U48" s="38">
        <f>+T48/O48</f>
        <v>2.7777777777777776E-2</v>
      </c>
      <c r="V48" s="14">
        <f>+SUM(K45:K48)</f>
        <v>0</v>
      </c>
      <c r="W48" s="172">
        <f>+V48/O48</f>
        <v>0</v>
      </c>
    </row>
    <row r="49" spans="1:26" x14ac:dyDescent="0.15">
      <c r="A49" s="142" t="s">
        <v>15</v>
      </c>
      <c r="B49" s="37">
        <v>0.68333333333333324</v>
      </c>
      <c r="C49" s="37">
        <v>0.68958333333333333</v>
      </c>
      <c r="D49" s="14">
        <v>9</v>
      </c>
      <c r="E49" s="14">
        <v>9</v>
      </c>
      <c r="F49" s="38">
        <f t="shared" si="7"/>
        <v>1</v>
      </c>
      <c r="G49" s="14">
        <v>13</v>
      </c>
      <c r="H49" s="38">
        <f t="shared" si="8"/>
        <v>1.4444444444444444</v>
      </c>
      <c r="I49" s="14">
        <v>0</v>
      </c>
      <c r="J49" s="38">
        <f t="shared" si="9"/>
        <v>0</v>
      </c>
      <c r="K49" s="14">
        <v>0</v>
      </c>
      <c r="L49" s="25">
        <f t="shared" si="10"/>
        <v>0</v>
      </c>
      <c r="M49" s="25"/>
      <c r="N49" s="14"/>
      <c r="O49" s="14"/>
      <c r="P49" s="14"/>
      <c r="Q49" s="14"/>
      <c r="R49" s="14"/>
      <c r="S49" s="14"/>
      <c r="T49" s="14"/>
      <c r="U49" s="14"/>
      <c r="V49" s="14"/>
      <c r="W49" s="136"/>
    </row>
    <row r="50" spans="1:26" x14ac:dyDescent="0.15">
      <c r="A50" s="94"/>
      <c r="B50" s="37">
        <v>0.70763888888888893</v>
      </c>
      <c r="C50" s="37">
        <v>0.71388888888888891</v>
      </c>
      <c r="D50" s="14">
        <v>9</v>
      </c>
      <c r="E50" s="14">
        <v>17</v>
      </c>
      <c r="F50" s="38">
        <f t="shared" si="7"/>
        <v>1.8888888888888888</v>
      </c>
      <c r="G50" s="14">
        <v>7</v>
      </c>
      <c r="H50" s="38">
        <f t="shared" si="8"/>
        <v>0.77777777777777779</v>
      </c>
      <c r="I50" s="14">
        <v>0</v>
      </c>
      <c r="J50" s="38">
        <f t="shared" si="9"/>
        <v>0</v>
      </c>
      <c r="K50" s="14">
        <v>0</v>
      </c>
      <c r="L50" s="25">
        <f t="shared" si="10"/>
        <v>0</v>
      </c>
      <c r="M50" s="25"/>
      <c r="N50" s="14"/>
      <c r="O50" s="14"/>
      <c r="P50" s="14"/>
      <c r="Q50" s="14"/>
      <c r="R50" s="14"/>
      <c r="S50" s="14"/>
      <c r="T50" s="14"/>
      <c r="U50" s="14"/>
      <c r="V50" s="14"/>
      <c r="W50" s="136"/>
    </row>
    <row r="51" spans="1:26" x14ac:dyDescent="0.15">
      <c r="A51" s="94"/>
      <c r="B51" s="37">
        <v>0.73888888888888893</v>
      </c>
      <c r="C51" s="37">
        <v>0.74513888888888891</v>
      </c>
      <c r="D51" s="14">
        <v>9</v>
      </c>
      <c r="E51" s="14">
        <v>15</v>
      </c>
      <c r="F51" s="38">
        <f t="shared" si="7"/>
        <v>1.6666666666666667</v>
      </c>
      <c r="G51" s="14">
        <v>20</v>
      </c>
      <c r="H51" s="38">
        <f t="shared" si="8"/>
        <v>2.2222222222222223</v>
      </c>
      <c r="I51" s="14">
        <v>0</v>
      </c>
      <c r="J51" s="38">
        <f t="shared" si="9"/>
        <v>0</v>
      </c>
      <c r="K51" s="14">
        <v>2</v>
      </c>
      <c r="L51" s="25">
        <f t="shared" si="10"/>
        <v>0.22222222222222221</v>
      </c>
      <c r="M51" s="25"/>
      <c r="N51" s="14"/>
      <c r="O51" s="14"/>
      <c r="P51" s="14"/>
      <c r="Q51" s="14"/>
      <c r="R51" s="14"/>
      <c r="S51" s="14"/>
      <c r="T51" s="14"/>
      <c r="U51" s="14"/>
      <c r="V51" s="14"/>
      <c r="W51" s="136"/>
      <c r="Y51" s="2" t="s">
        <v>18</v>
      </c>
    </row>
    <row r="52" spans="1:26" x14ac:dyDescent="0.15">
      <c r="A52" s="94"/>
      <c r="B52" s="37">
        <v>0.7597222222222223</v>
      </c>
      <c r="C52" s="37">
        <v>0.76597222222222217</v>
      </c>
      <c r="D52" s="14">
        <v>9</v>
      </c>
      <c r="E52" s="14">
        <v>17</v>
      </c>
      <c r="F52" s="38">
        <f t="shared" si="7"/>
        <v>1.8888888888888888</v>
      </c>
      <c r="G52" s="14">
        <v>28</v>
      </c>
      <c r="H52" s="38">
        <f t="shared" si="8"/>
        <v>3.1111111111111112</v>
      </c>
      <c r="I52" s="14">
        <v>1</v>
      </c>
      <c r="J52" s="38">
        <f t="shared" si="9"/>
        <v>0.1111111111111111</v>
      </c>
      <c r="K52" s="14">
        <v>0</v>
      </c>
      <c r="L52" s="25">
        <f t="shared" si="10"/>
        <v>0</v>
      </c>
      <c r="M52" s="25"/>
      <c r="N52" s="14"/>
      <c r="O52" s="14">
        <f>+SUM(D49:D52)</f>
        <v>36</v>
      </c>
      <c r="P52" s="14">
        <f>+SUM(E49:E52)</f>
        <v>58</v>
      </c>
      <c r="Q52" s="38">
        <f>+P52/O52</f>
        <v>1.6111111111111112</v>
      </c>
      <c r="R52" s="14">
        <f>+SUM(G49:G52)</f>
        <v>68</v>
      </c>
      <c r="S52" s="38">
        <f>+R52/O52</f>
        <v>1.8888888888888888</v>
      </c>
      <c r="T52" s="14">
        <f>+SUM(I49:I52)</f>
        <v>1</v>
      </c>
      <c r="U52" s="38">
        <f>+T52/O52</f>
        <v>2.7777777777777776E-2</v>
      </c>
      <c r="V52" s="14">
        <f>+SUM(K49:K52)</f>
        <v>2</v>
      </c>
      <c r="W52" s="172">
        <f>+V52/O52</f>
        <v>5.5555555555555552E-2</v>
      </c>
    </row>
    <row r="53" spans="1:26" x14ac:dyDescent="0.15">
      <c r="A53" s="142" t="s">
        <v>55</v>
      </c>
      <c r="B53" s="37">
        <v>0.69236111111111109</v>
      </c>
      <c r="C53" s="37">
        <v>0.69861111111111107</v>
      </c>
      <c r="D53" s="14">
        <v>9</v>
      </c>
      <c r="E53" s="14">
        <v>25</v>
      </c>
      <c r="F53" s="38">
        <f t="shared" si="7"/>
        <v>2.7777777777777777</v>
      </c>
      <c r="G53" s="14">
        <v>35</v>
      </c>
      <c r="H53" s="38">
        <f t="shared" si="8"/>
        <v>3.8888888888888888</v>
      </c>
      <c r="I53" s="14">
        <v>0</v>
      </c>
      <c r="J53" s="38">
        <f t="shared" si="9"/>
        <v>0</v>
      </c>
      <c r="K53" s="14">
        <v>1</v>
      </c>
      <c r="L53" s="25">
        <f t="shared" si="10"/>
        <v>0.1111111111111111</v>
      </c>
      <c r="M53" s="25"/>
      <c r="N53" s="14"/>
      <c r="O53" s="14"/>
      <c r="P53" s="14"/>
      <c r="Q53" s="14"/>
      <c r="R53" s="14"/>
      <c r="S53" s="14"/>
      <c r="T53" s="14"/>
      <c r="U53" s="14"/>
      <c r="V53" s="14"/>
      <c r="W53" s="136"/>
      <c r="Z53" s="2" t="s">
        <v>18</v>
      </c>
    </row>
    <row r="54" spans="1:26" x14ac:dyDescent="0.15">
      <c r="A54" s="94"/>
      <c r="B54" s="37">
        <v>0.71597222222222223</v>
      </c>
      <c r="C54" s="37">
        <v>0.72222222222222221</v>
      </c>
      <c r="D54" s="14">
        <v>9</v>
      </c>
      <c r="E54" s="14">
        <v>16</v>
      </c>
      <c r="F54" s="38">
        <f t="shared" si="7"/>
        <v>1.7777777777777777</v>
      </c>
      <c r="G54" s="14">
        <v>10</v>
      </c>
      <c r="H54" s="38">
        <f t="shared" si="8"/>
        <v>1.1111111111111112</v>
      </c>
      <c r="I54" s="14">
        <v>0</v>
      </c>
      <c r="J54" s="38">
        <f t="shared" si="9"/>
        <v>0</v>
      </c>
      <c r="K54" s="14">
        <v>1</v>
      </c>
      <c r="L54" s="25">
        <f t="shared" si="10"/>
        <v>0.1111111111111111</v>
      </c>
      <c r="M54" s="25"/>
      <c r="N54" s="14"/>
      <c r="O54" s="14"/>
      <c r="P54" s="14"/>
      <c r="Q54" s="14"/>
      <c r="R54" s="14"/>
      <c r="S54" s="14"/>
      <c r="T54" s="14"/>
      <c r="U54" s="14"/>
      <c r="V54" s="14"/>
      <c r="W54" s="136"/>
    </row>
    <row r="55" spans="1:26" x14ac:dyDescent="0.15">
      <c r="A55" s="94"/>
      <c r="B55" s="37">
        <v>0.74861111111111101</v>
      </c>
      <c r="C55" s="37">
        <v>0.75486111111111109</v>
      </c>
      <c r="D55" s="14">
        <v>9</v>
      </c>
      <c r="E55" s="14">
        <v>12</v>
      </c>
      <c r="F55" s="38">
        <f t="shared" si="7"/>
        <v>1.3333333333333333</v>
      </c>
      <c r="G55" s="14">
        <v>27</v>
      </c>
      <c r="H55" s="38">
        <f t="shared" si="8"/>
        <v>3</v>
      </c>
      <c r="I55" s="14">
        <v>0</v>
      </c>
      <c r="J55" s="38">
        <f t="shared" si="9"/>
        <v>0</v>
      </c>
      <c r="K55" s="14">
        <v>3</v>
      </c>
      <c r="L55" s="25">
        <f t="shared" si="10"/>
        <v>0.33333333333333331</v>
      </c>
      <c r="M55" s="25"/>
      <c r="N55" s="14"/>
      <c r="O55" s="14"/>
      <c r="P55" s="14" t="s">
        <v>18</v>
      </c>
      <c r="Q55" s="14" t="s">
        <v>18</v>
      </c>
      <c r="R55" s="14"/>
      <c r="S55" s="14"/>
      <c r="T55" s="14"/>
      <c r="U55" s="14"/>
      <c r="V55" s="14"/>
      <c r="W55" s="136"/>
      <c r="Y55" s="2" t="s">
        <v>18</v>
      </c>
    </row>
    <row r="56" spans="1:26" ht="14" thickBot="1" x14ac:dyDescent="0.2">
      <c r="A56" s="94"/>
      <c r="B56" s="37">
        <v>0.7680555555555556</v>
      </c>
      <c r="C56" s="37">
        <v>0.77430555555555547</v>
      </c>
      <c r="D56" s="14">
        <v>9</v>
      </c>
      <c r="E56" s="14">
        <v>18</v>
      </c>
      <c r="F56" s="38">
        <f t="shared" si="7"/>
        <v>2</v>
      </c>
      <c r="G56" s="14">
        <v>32</v>
      </c>
      <c r="H56" s="38">
        <f t="shared" si="8"/>
        <v>3.5555555555555554</v>
      </c>
      <c r="I56" s="14">
        <v>2</v>
      </c>
      <c r="J56" s="38">
        <f t="shared" si="9"/>
        <v>0.22222222222222221</v>
      </c>
      <c r="K56" s="14">
        <v>2</v>
      </c>
      <c r="L56" s="25">
        <f t="shared" si="10"/>
        <v>0.22222222222222221</v>
      </c>
      <c r="M56" s="25"/>
      <c r="N56" s="14"/>
      <c r="O56" s="14">
        <f>+SUM(D53:D56)</f>
        <v>36</v>
      </c>
      <c r="P56" s="14">
        <f>+SUM(E53:E56)</f>
        <v>71</v>
      </c>
      <c r="Q56" s="38">
        <f>+P56/O56</f>
        <v>1.9722222222222223</v>
      </c>
      <c r="R56" s="14">
        <f>+SUM(G53:G56)</f>
        <v>104</v>
      </c>
      <c r="S56" s="38">
        <f>+R56/O56</f>
        <v>2.8888888888888888</v>
      </c>
      <c r="T56" s="14">
        <f>+SUM(I53:I56)</f>
        <v>2</v>
      </c>
      <c r="U56" s="38">
        <f>+T56/O56</f>
        <v>5.5555555555555552E-2</v>
      </c>
      <c r="V56" s="14">
        <f>+SUM(K53:K56)</f>
        <v>7</v>
      </c>
      <c r="W56" s="172">
        <f>+V56/O56</f>
        <v>0.19444444444444445</v>
      </c>
    </row>
    <row r="57" spans="1:26" ht="14" thickBot="1" x14ac:dyDescent="0.2">
      <c r="A57" s="42" t="s">
        <v>68</v>
      </c>
      <c r="B57" s="44"/>
      <c r="C57" s="44" t="s">
        <v>18</v>
      </c>
      <c r="D57" s="69">
        <f>SUM(D8:D56)</f>
        <v>432</v>
      </c>
      <c r="E57" s="69">
        <f>SUM(E8:E56)</f>
        <v>758</v>
      </c>
      <c r="F57" s="589">
        <f t="shared" si="7"/>
        <v>1.7546296296296295</v>
      </c>
      <c r="G57" s="69">
        <f>SUM(G8:G56)</f>
        <v>930</v>
      </c>
      <c r="H57" s="589">
        <f t="shared" si="8"/>
        <v>2.1527777777777777</v>
      </c>
      <c r="I57" s="69">
        <f>SUM(I8:I56)</f>
        <v>26</v>
      </c>
      <c r="J57" s="589">
        <f t="shared" si="9"/>
        <v>6.0185185185185182E-2</v>
      </c>
      <c r="K57" s="69">
        <f>SUM(K8:K56)</f>
        <v>32</v>
      </c>
      <c r="L57" s="829">
        <f t="shared" si="10"/>
        <v>7.407407407407407E-2</v>
      </c>
      <c r="M57" s="169"/>
      <c r="N57" s="338" t="s">
        <v>218</v>
      </c>
      <c r="O57" s="98">
        <f>SUM(O33:O56)</f>
        <v>216</v>
      </c>
      <c r="P57" s="98">
        <f>SUM(P33:P56)</f>
        <v>401</v>
      </c>
      <c r="Q57" s="102">
        <f>+P57/O57</f>
        <v>1.8564814814814814</v>
      </c>
      <c r="R57" s="98">
        <f>SUM(R33:R56)</f>
        <v>566</v>
      </c>
      <c r="S57" s="102">
        <f>+R57/O57</f>
        <v>2.6203703703703702</v>
      </c>
      <c r="T57" s="98">
        <f>SUM(T33:T56)</f>
        <v>12</v>
      </c>
      <c r="U57" s="102">
        <f>+T57/O57</f>
        <v>5.5555555555555552E-2</v>
      </c>
      <c r="V57" s="98">
        <f>SUM(V33:V56)</f>
        <v>18</v>
      </c>
      <c r="W57" s="294">
        <f>+V57/O57</f>
        <v>8.3333333333333329E-2</v>
      </c>
    </row>
    <row r="58" spans="1:26" ht="14" thickBot="1" x14ac:dyDescent="0.2">
      <c r="A58" s="42" t="s">
        <v>455</v>
      </c>
      <c r="B58" s="44"/>
      <c r="C58" s="44"/>
      <c r="D58" s="69">
        <f>+D57</f>
        <v>432</v>
      </c>
      <c r="E58" s="331">
        <f>+E57+G57</f>
        <v>1688</v>
      </c>
      <c r="F58" s="371">
        <f t="shared" si="7"/>
        <v>3.9074074074074074</v>
      </c>
      <c r="G58" s="69"/>
      <c r="H58" s="67"/>
      <c r="I58" s="69"/>
      <c r="J58" s="67"/>
      <c r="K58" s="69"/>
      <c r="L58" s="169"/>
      <c r="M58" s="169"/>
      <c r="N58" s="96"/>
      <c r="O58" s="98"/>
      <c r="P58" s="98"/>
      <c r="Q58" s="102"/>
      <c r="R58" s="98"/>
      <c r="S58" s="102"/>
      <c r="T58" s="98"/>
      <c r="U58" s="102"/>
      <c r="V58" s="98"/>
      <c r="W58" s="294"/>
    </row>
    <row r="59" spans="1:26" ht="14" thickBot="1" x14ac:dyDescent="0.2">
      <c r="A59" s="42" t="s">
        <v>456</v>
      </c>
      <c r="B59" s="44"/>
      <c r="C59" s="44"/>
      <c r="D59" s="69">
        <f>+D57</f>
        <v>432</v>
      </c>
      <c r="E59" s="331">
        <f>+I57+K57</f>
        <v>58</v>
      </c>
      <c r="F59" s="371">
        <f t="shared" si="7"/>
        <v>0.13425925925925927</v>
      </c>
      <c r="G59" s="69"/>
      <c r="H59" s="67"/>
      <c r="I59" s="69"/>
      <c r="J59" s="67"/>
      <c r="K59" s="69"/>
      <c r="L59" s="169"/>
      <c r="M59" s="169"/>
      <c r="N59" s="96"/>
      <c r="O59" s="98"/>
      <c r="P59" s="98"/>
      <c r="Q59" s="102"/>
      <c r="R59" s="98"/>
      <c r="S59" s="102"/>
      <c r="T59" s="98"/>
      <c r="U59" s="102"/>
      <c r="V59" s="98"/>
      <c r="W59" s="294"/>
    </row>
    <row r="60" spans="1:26" ht="14" thickBot="1" x14ac:dyDescent="0.2">
      <c r="A60" s="48" t="s">
        <v>802</v>
      </c>
      <c r="B60" s="50"/>
      <c r="C60" s="50"/>
      <c r="D60" s="831">
        <f>+D59</f>
        <v>432</v>
      </c>
      <c r="E60" s="351">
        <f>+E58+E59</f>
        <v>1746</v>
      </c>
      <c r="F60" s="827">
        <f>+E60/D60</f>
        <v>4.041666666666667</v>
      </c>
      <c r="G60" s="831"/>
      <c r="H60" s="832"/>
      <c r="I60" s="831"/>
      <c r="J60" s="832"/>
      <c r="K60" s="831"/>
      <c r="L60" s="833"/>
      <c r="M60" s="833"/>
      <c r="N60" s="32"/>
      <c r="O60" s="124"/>
      <c r="P60" s="124"/>
      <c r="Q60" s="834"/>
      <c r="R60" s="124"/>
      <c r="S60" s="834"/>
      <c r="T60" s="124"/>
      <c r="U60" s="834"/>
      <c r="V60" s="124"/>
      <c r="W60" s="835"/>
    </row>
    <row r="61" spans="1:26" ht="14" thickBot="1" x14ac:dyDescent="0.2">
      <c r="A61" s="524"/>
      <c r="B61" s="525"/>
      <c r="C61" s="525"/>
      <c r="D61" s="525"/>
      <c r="E61" s="525"/>
      <c r="F61" s="525"/>
      <c r="G61" s="525"/>
      <c r="H61" s="525"/>
      <c r="I61" s="525"/>
      <c r="J61" s="525"/>
      <c r="K61" s="525"/>
      <c r="L61" s="525"/>
      <c r="M61" s="525"/>
      <c r="N61" s="525"/>
      <c r="O61" s="525"/>
      <c r="P61" s="525"/>
      <c r="Q61" s="525"/>
      <c r="R61" s="525"/>
      <c r="S61" s="525"/>
      <c r="T61" s="525"/>
      <c r="U61" s="525"/>
      <c r="V61" s="525"/>
      <c r="W61" s="526"/>
    </row>
    <row r="62" spans="1:26" ht="14" thickBot="1" x14ac:dyDescent="0.2">
      <c r="A62" s="53" t="s">
        <v>12</v>
      </c>
      <c r="B62" s="168"/>
      <c r="C62" s="155"/>
      <c r="D62" s="154" t="s">
        <v>18</v>
      </c>
      <c r="E62" s="154"/>
      <c r="F62" s="155" t="s">
        <v>169</v>
      </c>
      <c r="G62" s="155" t="s">
        <v>170</v>
      </c>
      <c r="H62" s="155" t="s">
        <v>220</v>
      </c>
      <c r="I62" s="155" t="s">
        <v>184</v>
      </c>
      <c r="J62" s="155" t="s">
        <v>18</v>
      </c>
      <c r="K62" s="50"/>
      <c r="L62" s="83" t="s">
        <v>18</v>
      </c>
      <c r="M62" s="87"/>
      <c r="N62" s="50"/>
      <c r="O62" s="50"/>
      <c r="P62" s="50"/>
      <c r="Q62" s="50"/>
      <c r="R62" s="50"/>
      <c r="S62" s="50"/>
      <c r="T62" s="50"/>
      <c r="U62" s="50"/>
      <c r="V62" s="50"/>
      <c r="W62" s="83"/>
    </row>
    <row r="63" spans="1:26" x14ac:dyDescent="0.15">
      <c r="A63" s="74" t="s">
        <v>636</v>
      </c>
      <c r="B63" s="163" t="s">
        <v>213</v>
      </c>
      <c r="C63" s="164"/>
      <c r="D63" s="21"/>
      <c r="E63" s="19"/>
      <c r="F63" s="14" t="s">
        <v>192</v>
      </c>
      <c r="G63" s="23" t="s">
        <v>219</v>
      </c>
      <c r="H63" s="26" t="s">
        <v>172</v>
      </c>
      <c r="I63" s="19" t="s">
        <v>185</v>
      </c>
      <c r="J63" s="19"/>
      <c r="K63" s="19" t="s">
        <v>18</v>
      </c>
      <c r="L63" s="157" t="s">
        <v>18</v>
      </c>
      <c r="M63" s="182"/>
      <c r="N63" s="163" t="s">
        <v>213</v>
      </c>
      <c r="O63" s="527"/>
      <c r="P63" s="14" t="s">
        <v>18</v>
      </c>
      <c r="Q63" s="14"/>
      <c r="R63" s="14"/>
      <c r="S63" s="14"/>
      <c r="T63" s="14"/>
      <c r="U63" s="14"/>
      <c r="V63" s="14"/>
      <c r="W63" s="136"/>
    </row>
    <row r="64" spans="1:26" ht="14" thickBot="1" x14ac:dyDescent="0.2">
      <c r="A64" s="146" t="s">
        <v>637</v>
      </c>
      <c r="B64" s="158" t="s">
        <v>215</v>
      </c>
      <c r="C64" s="165"/>
      <c r="D64" s="160"/>
      <c r="E64" s="160"/>
      <c r="F64" s="160"/>
      <c r="G64" s="161" t="s">
        <v>18</v>
      </c>
      <c r="H64" s="161" t="s">
        <v>221</v>
      </c>
      <c r="I64" s="160" t="s">
        <v>18</v>
      </c>
      <c r="J64" s="160"/>
      <c r="K64" s="160"/>
      <c r="L64" s="162"/>
      <c r="M64" s="206"/>
      <c r="N64" s="158" t="s">
        <v>215</v>
      </c>
      <c r="O64" s="162"/>
      <c r="P64" s="33"/>
      <c r="Q64" s="34"/>
      <c r="R64" s="34"/>
      <c r="S64" s="34"/>
      <c r="T64" s="34"/>
      <c r="U64" s="34"/>
      <c r="V64" s="34"/>
      <c r="W64" s="35"/>
    </row>
    <row r="65" spans="1:26" x14ac:dyDescent="0.15">
      <c r="A65" s="145" t="s">
        <v>216</v>
      </c>
      <c r="B65" s="32" t="s">
        <v>188</v>
      </c>
      <c r="C65" s="32" t="s">
        <v>188</v>
      </c>
      <c r="D65" s="32" t="s">
        <v>206</v>
      </c>
      <c r="E65" s="32" t="s">
        <v>197</v>
      </c>
      <c r="F65" s="32" t="s">
        <v>209</v>
      </c>
      <c r="G65" s="32" t="s">
        <v>197</v>
      </c>
      <c r="H65" s="32" t="s">
        <v>209</v>
      </c>
      <c r="I65" s="32" t="s">
        <v>201</v>
      </c>
      <c r="J65" s="32" t="s">
        <v>209</v>
      </c>
      <c r="K65" s="32" t="s">
        <v>203</v>
      </c>
      <c r="L65" s="32" t="s">
        <v>209</v>
      </c>
      <c r="M65" s="32"/>
      <c r="N65" s="32"/>
      <c r="O65" s="32" t="s">
        <v>206</v>
      </c>
      <c r="P65" s="32" t="s">
        <v>197</v>
      </c>
      <c r="Q65" s="32" t="s">
        <v>209</v>
      </c>
      <c r="R65" s="32" t="s">
        <v>197</v>
      </c>
      <c r="S65" s="32" t="s">
        <v>209</v>
      </c>
      <c r="T65" s="32" t="s">
        <v>201</v>
      </c>
      <c r="U65" s="32" t="s">
        <v>209</v>
      </c>
      <c r="V65" s="32" t="s">
        <v>203</v>
      </c>
      <c r="W65" s="151" t="s">
        <v>209</v>
      </c>
    </row>
    <row r="66" spans="1:26" ht="14" thickBot="1" x14ac:dyDescent="0.2">
      <c r="A66" s="55" t="s">
        <v>353</v>
      </c>
      <c r="B66" s="33" t="s">
        <v>207</v>
      </c>
      <c r="C66" s="33" t="s">
        <v>208</v>
      </c>
      <c r="D66" s="33" t="s">
        <v>205</v>
      </c>
      <c r="E66" s="33" t="s">
        <v>198</v>
      </c>
      <c r="F66" s="33" t="s">
        <v>210</v>
      </c>
      <c r="G66" s="33" t="s">
        <v>199</v>
      </c>
      <c r="H66" s="33" t="s">
        <v>210</v>
      </c>
      <c r="I66" s="33" t="s">
        <v>200</v>
      </c>
      <c r="J66" s="33" t="s">
        <v>210</v>
      </c>
      <c r="K66" s="33" t="s">
        <v>204</v>
      </c>
      <c r="L66" s="33" t="s">
        <v>210</v>
      </c>
      <c r="M66" s="33" t="s">
        <v>417</v>
      </c>
      <c r="N66" s="33"/>
      <c r="O66" s="33" t="s">
        <v>205</v>
      </c>
      <c r="P66" s="33" t="s">
        <v>198</v>
      </c>
      <c r="Q66" s="33" t="s">
        <v>210</v>
      </c>
      <c r="R66" s="33" t="s">
        <v>199</v>
      </c>
      <c r="S66" s="33" t="s">
        <v>210</v>
      </c>
      <c r="T66" s="33" t="s">
        <v>200</v>
      </c>
      <c r="U66" s="33" t="s">
        <v>210</v>
      </c>
      <c r="V66" s="33" t="s">
        <v>204</v>
      </c>
      <c r="W66" s="152" t="s">
        <v>210</v>
      </c>
    </row>
    <row r="67" spans="1:26" x14ac:dyDescent="0.15">
      <c r="A67" s="147" t="s">
        <v>241</v>
      </c>
      <c r="B67" s="37">
        <v>0.4604166666666667</v>
      </c>
      <c r="C67" s="37">
        <v>0.46736111111111112</v>
      </c>
      <c r="D67" s="14">
        <v>10</v>
      </c>
      <c r="E67" s="14">
        <v>31</v>
      </c>
      <c r="F67" s="38">
        <f t="shared" ref="F67:F89" si="11">+E67/D67</f>
        <v>3.1</v>
      </c>
      <c r="G67" s="14">
        <v>31</v>
      </c>
      <c r="H67" s="38">
        <f t="shared" ref="H67:H89" si="12">+G67/D67</f>
        <v>3.1</v>
      </c>
      <c r="I67" s="14">
        <v>6</v>
      </c>
      <c r="J67" s="113">
        <f t="shared" ref="J67:J89" si="13">+I67/D67</f>
        <v>0.6</v>
      </c>
      <c r="K67" s="14">
        <v>2</v>
      </c>
      <c r="L67" s="25">
        <f t="shared" ref="L67:L89" si="14">+K67/D67</f>
        <v>0.2</v>
      </c>
      <c r="M67" s="25"/>
      <c r="N67" s="14"/>
      <c r="O67" s="14"/>
      <c r="P67" s="14"/>
      <c r="Q67" s="14"/>
      <c r="R67" s="14"/>
      <c r="S67" s="14"/>
      <c r="T67" s="14"/>
      <c r="U67" s="14"/>
      <c r="V67" s="14"/>
      <c r="W67" s="136"/>
    </row>
    <row r="68" spans="1:26" x14ac:dyDescent="0.15">
      <c r="A68" s="148"/>
      <c r="B68" s="37">
        <v>0.5005208333333333</v>
      </c>
      <c r="C68" s="37">
        <v>0.51440972222222225</v>
      </c>
      <c r="D68" s="14">
        <v>20</v>
      </c>
      <c r="E68" s="14">
        <v>170</v>
      </c>
      <c r="F68" s="38">
        <f t="shared" si="11"/>
        <v>8.5</v>
      </c>
      <c r="G68" s="14">
        <v>130</v>
      </c>
      <c r="H68" s="38">
        <f t="shared" si="12"/>
        <v>6.5</v>
      </c>
      <c r="I68" s="14">
        <v>5</v>
      </c>
      <c r="J68" s="113">
        <f t="shared" si="13"/>
        <v>0.25</v>
      </c>
      <c r="K68" s="14">
        <v>2</v>
      </c>
      <c r="L68" s="25">
        <f t="shared" si="14"/>
        <v>0.1</v>
      </c>
      <c r="M68" s="25"/>
      <c r="N68" s="14"/>
      <c r="O68" s="170"/>
      <c r="P68" s="14"/>
      <c r="Q68" s="14"/>
      <c r="R68" s="14"/>
      <c r="S68" s="14"/>
      <c r="T68" s="14"/>
      <c r="U68" s="14"/>
      <c r="V68" s="14"/>
      <c r="W68" s="136"/>
    </row>
    <row r="69" spans="1:26" x14ac:dyDescent="0.15">
      <c r="A69" s="148"/>
      <c r="B69" s="37">
        <v>0.54583333333333328</v>
      </c>
      <c r="C69" s="37">
        <v>0.55277777777777781</v>
      </c>
      <c r="D69" s="14">
        <v>10</v>
      </c>
      <c r="E69" s="14">
        <v>68</v>
      </c>
      <c r="F69" s="38">
        <f t="shared" si="11"/>
        <v>6.8</v>
      </c>
      <c r="G69" s="14">
        <v>52</v>
      </c>
      <c r="H69" s="38">
        <f t="shared" si="12"/>
        <v>5.2</v>
      </c>
      <c r="I69" s="14">
        <v>2</v>
      </c>
      <c r="J69" s="113">
        <f t="shared" si="13"/>
        <v>0.2</v>
      </c>
      <c r="K69" s="14">
        <v>4</v>
      </c>
      <c r="L69" s="25">
        <f t="shared" si="14"/>
        <v>0.4</v>
      </c>
      <c r="M69" s="25"/>
      <c r="N69" s="14"/>
      <c r="O69" s="170">
        <f>SUM(D67:D69)</f>
        <v>40</v>
      </c>
      <c r="P69" s="170">
        <f>SUM(E67:E69)</f>
        <v>269</v>
      </c>
      <c r="Q69" s="38">
        <f>+P69/O69</f>
        <v>6.7249999999999996</v>
      </c>
      <c r="R69" s="170">
        <f>SUM(G67:G69)</f>
        <v>213</v>
      </c>
      <c r="S69" s="38">
        <f>+R69/O69</f>
        <v>5.3250000000000002</v>
      </c>
      <c r="T69" s="170">
        <f>SUM(I67:I69)</f>
        <v>13</v>
      </c>
      <c r="U69" s="113">
        <f>+T69/O69</f>
        <v>0.32500000000000001</v>
      </c>
      <c r="V69" s="170">
        <f>SUM(K67:K69)</f>
        <v>8</v>
      </c>
      <c r="W69" s="171">
        <f>+V69/O69</f>
        <v>0.2</v>
      </c>
    </row>
    <row r="70" spans="1:26" x14ac:dyDescent="0.15">
      <c r="A70" s="142" t="s">
        <v>242</v>
      </c>
      <c r="B70" s="37">
        <v>0.4680555555555555</v>
      </c>
      <c r="C70" s="37">
        <v>0.47499999999999998</v>
      </c>
      <c r="D70" s="14">
        <v>10</v>
      </c>
      <c r="E70" s="14">
        <v>18</v>
      </c>
      <c r="F70" s="38">
        <f t="shared" si="11"/>
        <v>1.8</v>
      </c>
      <c r="G70" s="14">
        <v>15</v>
      </c>
      <c r="H70" s="38">
        <f t="shared" si="12"/>
        <v>1.5</v>
      </c>
      <c r="I70" s="14">
        <v>7</v>
      </c>
      <c r="J70" s="113">
        <f t="shared" si="13"/>
        <v>0.7</v>
      </c>
      <c r="K70" s="14">
        <v>0</v>
      </c>
      <c r="L70" s="25">
        <f t="shared" si="14"/>
        <v>0</v>
      </c>
      <c r="M70" s="25"/>
      <c r="N70" s="14"/>
      <c r="O70" s="14"/>
      <c r="P70" s="14"/>
      <c r="Q70" s="14"/>
      <c r="R70" s="14"/>
      <c r="S70" s="14"/>
      <c r="T70" s="14"/>
      <c r="U70" s="14"/>
      <c r="V70" s="14"/>
      <c r="W70" s="136"/>
    </row>
    <row r="71" spans="1:26" x14ac:dyDescent="0.15">
      <c r="A71" s="94"/>
      <c r="B71" s="37">
        <v>0.4927083333333333</v>
      </c>
      <c r="C71" s="37">
        <v>0.49965277777777778</v>
      </c>
      <c r="D71" s="14">
        <v>10</v>
      </c>
      <c r="E71" s="14">
        <v>67</v>
      </c>
      <c r="F71" s="38">
        <f t="shared" si="11"/>
        <v>6.7</v>
      </c>
      <c r="G71" s="14">
        <v>28</v>
      </c>
      <c r="H71" s="38">
        <f t="shared" si="12"/>
        <v>2.8</v>
      </c>
      <c r="I71" s="14">
        <v>3</v>
      </c>
      <c r="J71" s="113">
        <f t="shared" si="13"/>
        <v>0.3</v>
      </c>
      <c r="K71" s="14">
        <v>0</v>
      </c>
      <c r="L71" s="25">
        <f t="shared" si="14"/>
        <v>0</v>
      </c>
      <c r="M71" s="25"/>
      <c r="N71" s="14"/>
      <c r="O71" s="14"/>
      <c r="P71" s="14"/>
      <c r="Q71" s="14"/>
      <c r="R71" s="14"/>
      <c r="S71" s="14"/>
      <c r="T71" s="14"/>
      <c r="U71" s="14"/>
      <c r="V71" s="14"/>
      <c r="W71" s="136"/>
    </row>
    <row r="72" spans="1:26" x14ac:dyDescent="0.15">
      <c r="A72" s="94" t="s">
        <v>18</v>
      </c>
      <c r="B72" s="37">
        <v>0.51545138888888886</v>
      </c>
      <c r="C72" s="37">
        <v>0.52239583333333328</v>
      </c>
      <c r="D72" s="14">
        <v>10</v>
      </c>
      <c r="E72" s="14">
        <v>91</v>
      </c>
      <c r="F72" s="38">
        <f t="shared" si="11"/>
        <v>9.1</v>
      </c>
      <c r="G72" s="14">
        <v>12</v>
      </c>
      <c r="H72" s="38">
        <f t="shared" si="12"/>
        <v>1.2</v>
      </c>
      <c r="I72" s="14">
        <v>5</v>
      </c>
      <c r="J72" s="113">
        <f t="shared" si="13"/>
        <v>0.5</v>
      </c>
      <c r="K72" s="14">
        <v>0</v>
      </c>
      <c r="L72" s="25">
        <f t="shared" si="14"/>
        <v>0</v>
      </c>
      <c r="M72" s="25"/>
      <c r="N72" s="14"/>
      <c r="O72" s="14" t="s">
        <v>18</v>
      </c>
      <c r="P72" s="14"/>
      <c r="Q72" s="14"/>
      <c r="R72" s="14"/>
      <c r="S72" s="14"/>
      <c r="T72" s="14"/>
      <c r="U72" s="14"/>
      <c r="V72" s="14"/>
      <c r="W72" s="136"/>
    </row>
    <row r="73" spans="1:26" x14ac:dyDescent="0.15">
      <c r="A73" s="94"/>
      <c r="B73" s="37">
        <v>0.53819444444444442</v>
      </c>
      <c r="C73" s="37">
        <v>0.54513888888888895</v>
      </c>
      <c r="D73" s="14">
        <v>10</v>
      </c>
      <c r="E73" s="14">
        <v>72</v>
      </c>
      <c r="F73" s="38">
        <f t="shared" si="11"/>
        <v>7.2</v>
      </c>
      <c r="G73" s="14">
        <v>19</v>
      </c>
      <c r="H73" s="38">
        <f t="shared" si="12"/>
        <v>1.9</v>
      </c>
      <c r="I73" s="14">
        <v>6</v>
      </c>
      <c r="J73" s="113">
        <f t="shared" si="13"/>
        <v>0.6</v>
      </c>
      <c r="K73" s="14">
        <v>0</v>
      </c>
      <c r="L73" s="25">
        <f t="shared" si="14"/>
        <v>0</v>
      </c>
      <c r="M73" s="25"/>
      <c r="N73" s="14"/>
      <c r="O73" s="170">
        <f>SUM(D70:D73)</f>
        <v>40</v>
      </c>
      <c r="P73" s="170">
        <f>SUM(E70:E73)</f>
        <v>248</v>
      </c>
      <c r="Q73" s="38">
        <f>+P73/O73</f>
        <v>6.2</v>
      </c>
      <c r="R73" s="170">
        <f>SUM(G70:G73)</f>
        <v>74</v>
      </c>
      <c r="S73" s="38">
        <f>+R73/O73</f>
        <v>1.85</v>
      </c>
      <c r="T73" s="170">
        <f>SUM(I70:I73)</f>
        <v>21</v>
      </c>
      <c r="U73" s="113">
        <f>+T73/O73</f>
        <v>0.52500000000000002</v>
      </c>
      <c r="V73" s="170">
        <f>SUM(K70:K73)</f>
        <v>0</v>
      </c>
      <c r="W73" s="171">
        <f>+V73/O73</f>
        <v>0</v>
      </c>
    </row>
    <row r="74" spans="1:26" x14ac:dyDescent="0.15">
      <c r="A74" s="142" t="s">
        <v>243</v>
      </c>
      <c r="B74" s="37">
        <v>0.47569444444444442</v>
      </c>
      <c r="C74" s="37">
        <v>0.4826388888888889</v>
      </c>
      <c r="D74" s="14">
        <v>10</v>
      </c>
      <c r="E74" s="14">
        <v>21</v>
      </c>
      <c r="F74" s="38">
        <f t="shared" si="11"/>
        <v>2.1</v>
      </c>
      <c r="G74" s="14">
        <v>13</v>
      </c>
      <c r="H74" s="38">
        <f t="shared" si="12"/>
        <v>1.3</v>
      </c>
      <c r="I74" s="14">
        <v>2</v>
      </c>
      <c r="J74" s="113">
        <f t="shared" si="13"/>
        <v>0.2</v>
      </c>
      <c r="K74" s="14">
        <v>0</v>
      </c>
      <c r="L74" s="25">
        <f t="shared" si="14"/>
        <v>0</v>
      </c>
      <c r="M74" s="25"/>
      <c r="N74" s="14"/>
      <c r="O74" s="14"/>
      <c r="P74" s="14"/>
      <c r="Q74" s="14"/>
      <c r="R74" s="14" t="s">
        <v>18</v>
      </c>
      <c r="S74" s="14"/>
      <c r="T74" s="14"/>
      <c r="U74" s="14"/>
      <c r="V74" s="14"/>
      <c r="W74" s="136"/>
    </row>
    <row r="75" spans="1:26" x14ac:dyDescent="0.15">
      <c r="A75" s="94"/>
      <c r="B75" s="37">
        <v>0.48472222222222222</v>
      </c>
      <c r="C75" s="37">
        <v>0.4916666666666667</v>
      </c>
      <c r="D75" s="14">
        <v>10</v>
      </c>
      <c r="E75" s="14">
        <v>32</v>
      </c>
      <c r="F75" s="38">
        <f t="shared" si="11"/>
        <v>3.2</v>
      </c>
      <c r="G75" s="14">
        <v>36</v>
      </c>
      <c r="H75" s="38">
        <f t="shared" si="12"/>
        <v>3.6</v>
      </c>
      <c r="I75" s="14">
        <v>3</v>
      </c>
      <c r="J75" s="113">
        <f t="shared" si="13"/>
        <v>0.3</v>
      </c>
      <c r="K75" s="14">
        <v>0</v>
      </c>
      <c r="L75" s="25">
        <f t="shared" si="14"/>
        <v>0</v>
      </c>
      <c r="M75" s="25"/>
      <c r="N75" s="14" t="s">
        <v>18</v>
      </c>
      <c r="O75" s="14"/>
      <c r="P75" s="14"/>
      <c r="Q75" s="14"/>
      <c r="R75" s="14" t="s">
        <v>18</v>
      </c>
      <c r="S75" s="14"/>
      <c r="T75" s="14"/>
      <c r="U75" s="14"/>
      <c r="V75" s="14"/>
      <c r="W75" s="136"/>
    </row>
    <row r="76" spans="1:26" x14ac:dyDescent="0.15">
      <c r="A76" s="94"/>
      <c r="B76" s="37">
        <v>0.53055555555555556</v>
      </c>
      <c r="C76" s="37">
        <v>0.53749999999999998</v>
      </c>
      <c r="D76" s="14">
        <v>10</v>
      </c>
      <c r="E76" s="14">
        <v>52</v>
      </c>
      <c r="F76" s="38">
        <f t="shared" si="11"/>
        <v>5.2</v>
      </c>
      <c r="G76" s="14">
        <v>29</v>
      </c>
      <c r="H76" s="38">
        <f t="shared" si="12"/>
        <v>2.9</v>
      </c>
      <c r="I76" s="14">
        <v>8</v>
      </c>
      <c r="J76" s="113">
        <f t="shared" si="13"/>
        <v>0.8</v>
      </c>
      <c r="K76" s="14">
        <v>0</v>
      </c>
      <c r="L76" s="25">
        <f t="shared" si="14"/>
        <v>0</v>
      </c>
      <c r="M76" s="25"/>
      <c r="N76" s="14"/>
      <c r="O76" s="170">
        <f>SUM(D74:D76)</f>
        <v>30</v>
      </c>
      <c r="P76" s="170">
        <f>SUM(E74:E76)</f>
        <v>105</v>
      </c>
      <c r="Q76" s="38">
        <f>+P76/O76</f>
        <v>3.5</v>
      </c>
      <c r="R76" s="170">
        <f>SUM(G74:G76)</f>
        <v>78</v>
      </c>
      <c r="S76" s="38">
        <f>+R76/O76</f>
        <v>2.6</v>
      </c>
      <c r="T76" s="170">
        <f>SUM(I74:I76)</f>
        <v>13</v>
      </c>
      <c r="U76" s="113">
        <f>+T76/O76</f>
        <v>0.43333333333333335</v>
      </c>
      <c r="V76" s="170">
        <f>SUM(K74:K76)</f>
        <v>0</v>
      </c>
      <c r="W76" s="171">
        <f>+V76/O76</f>
        <v>0</v>
      </c>
    </row>
    <row r="77" spans="1:26" x14ac:dyDescent="0.15">
      <c r="A77" s="142" t="s">
        <v>244</v>
      </c>
      <c r="B77" s="37">
        <v>0.48333333333333334</v>
      </c>
      <c r="C77" s="37">
        <v>0.49027777777777781</v>
      </c>
      <c r="D77" s="14">
        <v>10</v>
      </c>
      <c r="E77" s="14">
        <v>41</v>
      </c>
      <c r="F77" s="38">
        <f t="shared" si="11"/>
        <v>4.0999999999999996</v>
      </c>
      <c r="G77" s="14">
        <v>11</v>
      </c>
      <c r="H77" s="38">
        <f t="shared" si="12"/>
        <v>1.1000000000000001</v>
      </c>
      <c r="I77" s="14">
        <v>7</v>
      </c>
      <c r="J77" s="113">
        <f t="shared" si="13"/>
        <v>0.7</v>
      </c>
      <c r="K77" s="14">
        <v>0</v>
      </c>
      <c r="L77" s="25">
        <f t="shared" si="14"/>
        <v>0</v>
      </c>
      <c r="M77" s="25"/>
      <c r="N77" s="14"/>
      <c r="O77" s="14"/>
      <c r="P77" s="14" t="s">
        <v>18</v>
      </c>
      <c r="Q77" s="14"/>
      <c r="R77" s="14"/>
      <c r="S77" s="14"/>
      <c r="T77" s="14"/>
      <c r="U77" s="14"/>
      <c r="V77" s="14"/>
      <c r="W77" s="136"/>
    </row>
    <row r="78" spans="1:26" x14ac:dyDescent="0.15">
      <c r="A78" s="94"/>
      <c r="B78" s="37">
        <v>0.47638888888888892</v>
      </c>
      <c r="C78" s="37">
        <v>0.48333333333333334</v>
      </c>
      <c r="D78" s="14">
        <v>10</v>
      </c>
      <c r="E78" s="14">
        <v>37</v>
      </c>
      <c r="F78" s="38">
        <f t="shared" si="11"/>
        <v>3.7</v>
      </c>
      <c r="G78" s="14">
        <v>6</v>
      </c>
      <c r="H78" s="38">
        <f t="shared" si="12"/>
        <v>0.6</v>
      </c>
      <c r="I78" s="14">
        <v>6</v>
      </c>
      <c r="J78" s="113">
        <f t="shared" si="13"/>
        <v>0.6</v>
      </c>
      <c r="K78" s="14">
        <v>0</v>
      </c>
      <c r="L78" s="25">
        <f t="shared" si="14"/>
        <v>0</v>
      </c>
      <c r="M78" s="25"/>
      <c r="N78" s="14"/>
      <c r="O78" s="14"/>
      <c r="P78" s="14"/>
      <c r="Q78" s="14"/>
      <c r="R78" s="14"/>
      <c r="S78" s="14"/>
      <c r="T78" s="14"/>
      <c r="U78" s="14"/>
      <c r="V78" s="14"/>
      <c r="W78" s="136"/>
    </row>
    <row r="79" spans="1:26" x14ac:dyDescent="0.15">
      <c r="A79" s="94"/>
      <c r="B79" s="37">
        <v>0.55150462962962965</v>
      </c>
      <c r="C79" s="37">
        <v>0.55844907407407407</v>
      </c>
      <c r="D79" s="14">
        <v>10</v>
      </c>
      <c r="E79" s="14">
        <v>40</v>
      </c>
      <c r="F79" s="38">
        <f t="shared" si="11"/>
        <v>4</v>
      </c>
      <c r="G79" s="14">
        <v>8</v>
      </c>
      <c r="H79" s="38">
        <f t="shared" si="12"/>
        <v>0.8</v>
      </c>
      <c r="I79" s="14">
        <v>7</v>
      </c>
      <c r="J79" s="113">
        <f t="shared" si="13"/>
        <v>0.7</v>
      </c>
      <c r="K79" s="14">
        <v>0</v>
      </c>
      <c r="L79" s="25">
        <f t="shared" si="14"/>
        <v>0</v>
      </c>
      <c r="M79" s="25"/>
      <c r="N79" s="14"/>
      <c r="O79" s="14"/>
      <c r="P79" s="14" t="s">
        <v>18</v>
      </c>
      <c r="Q79" s="14"/>
      <c r="R79" s="14" t="s">
        <v>18</v>
      </c>
      <c r="S79" s="14"/>
      <c r="T79" s="14"/>
      <c r="U79" s="14"/>
      <c r="V79" s="14"/>
      <c r="W79" s="136"/>
    </row>
    <row r="80" spans="1:26" x14ac:dyDescent="0.15">
      <c r="A80" s="94"/>
      <c r="B80" s="37">
        <v>0.5229166666666667</v>
      </c>
      <c r="C80" s="37">
        <v>0.52986111111111112</v>
      </c>
      <c r="D80" s="14">
        <v>10</v>
      </c>
      <c r="E80" s="14">
        <v>41</v>
      </c>
      <c r="F80" s="38">
        <f t="shared" si="11"/>
        <v>4.0999999999999996</v>
      </c>
      <c r="G80" s="14">
        <v>12</v>
      </c>
      <c r="H80" s="38">
        <f t="shared" si="12"/>
        <v>1.2</v>
      </c>
      <c r="I80" s="14">
        <v>10</v>
      </c>
      <c r="J80" s="113">
        <f t="shared" si="13"/>
        <v>1</v>
      </c>
      <c r="K80" s="14">
        <v>0</v>
      </c>
      <c r="L80" s="25">
        <f t="shared" si="14"/>
        <v>0</v>
      </c>
      <c r="M80" s="25"/>
      <c r="N80" s="14"/>
      <c r="O80" s="170">
        <f>SUM(D77:D80)</f>
        <v>40</v>
      </c>
      <c r="P80" s="170">
        <f>SUM(E77:E80)</f>
        <v>159</v>
      </c>
      <c r="Q80" s="38">
        <f>+P80/O80</f>
        <v>3.9750000000000001</v>
      </c>
      <c r="R80" s="170">
        <f>SUM(G77:G80)</f>
        <v>37</v>
      </c>
      <c r="S80" s="38">
        <f>+R80/O80</f>
        <v>0.92500000000000004</v>
      </c>
      <c r="T80" s="170">
        <f>SUM(I77:I80)</f>
        <v>30</v>
      </c>
      <c r="U80" s="113">
        <f>+T80/O80</f>
        <v>0.75</v>
      </c>
      <c r="V80" s="170">
        <f>SUM(K77:K80)</f>
        <v>0</v>
      </c>
      <c r="W80" s="171">
        <f>+V80/O80</f>
        <v>0</v>
      </c>
      <c r="Z80" t="s">
        <v>18</v>
      </c>
    </row>
    <row r="81" spans="1:26" x14ac:dyDescent="0.15">
      <c r="A81" s="142" t="s">
        <v>246</v>
      </c>
      <c r="B81" s="37">
        <v>0.4909722222222222</v>
      </c>
      <c r="C81" s="37">
        <v>0.49791666666666662</v>
      </c>
      <c r="D81" s="14">
        <v>10</v>
      </c>
      <c r="E81" s="14">
        <v>49</v>
      </c>
      <c r="F81" s="38">
        <f t="shared" si="11"/>
        <v>4.9000000000000004</v>
      </c>
      <c r="G81" s="14">
        <v>8</v>
      </c>
      <c r="H81" s="38">
        <f t="shared" si="12"/>
        <v>0.8</v>
      </c>
      <c r="I81" s="14">
        <v>7</v>
      </c>
      <c r="J81" s="113">
        <f t="shared" si="13"/>
        <v>0.7</v>
      </c>
      <c r="K81" s="14">
        <v>0</v>
      </c>
      <c r="L81" s="25">
        <f t="shared" si="14"/>
        <v>0</v>
      </c>
      <c r="M81" s="25"/>
      <c r="N81" s="14" t="s">
        <v>18</v>
      </c>
      <c r="O81" s="14"/>
      <c r="P81" s="14"/>
      <c r="Q81" s="14"/>
      <c r="R81" s="14"/>
      <c r="S81" s="14"/>
      <c r="T81" s="14" t="s">
        <v>18</v>
      </c>
      <c r="U81" s="14"/>
      <c r="V81" s="14"/>
      <c r="W81" s="136"/>
    </row>
    <row r="82" spans="1:26" x14ac:dyDescent="0.15">
      <c r="A82" s="94"/>
      <c r="B82" s="37">
        <v>0.46840277777777778</v>
      </c>
      <c r="C82" s="37">
        <v>0.4753472222222222</v>
      </c>
      <c r="D82" s="14">
        <v>10</v>
      </c>
      <c r="E82" s="14">
        <v>17</v>
      </c>
      <c r="F82" s="38">
        <f t="shared" si="11"/>
        <v>1.7</v>
      </c>
      <c r="G82" s="14">
        <v>2</v>
      </c>
      <c r="H82" s="38">
        <f t="shared" si="12"/>
        <v>0.2</v>
      </c>
      <c r="I82" s="14">
        <v>7</v>
      </c>
      <c r="J82" s="113">
        <f t="shared" si="13"/>
        <v>0.7</v>
      </c>
      <c r="K82" s="14">
        <v>0</v>
      </c>
      <c r="L82" s="25">
        <f t="shared" si="14"/>
        <v>0</v>
      </c>
      <c r="M82" s="25"/>
      <c r="N82" s="14"/>
      <c r="O82" s="14"/>
      <c r="P82" s="14"/>
      <c r="Q82" s="14"/>
      <c r="R82" s="14"/>
      <c r="S82" s="14"/>
      <c r="T82" s="14"/>
      <c r="U82" s="14"/>
      <c r="V82" s="14"/>
      <c r="W82" s="136"/>
      <c r="Y82" t="s">
        <v>18</v>
      </c>
      <c r="Z82" t="s">
        <v>18</v>
      </c>
    </row>
    <row r="83" spans="1:26" x14ac:dyDescent="0.15">
      <c r="A83" s="94"/>
      <c r="B83" s="37">
        <v>0.52326388888888886</v>
      </c>
      <c r="C83" s="37">
        <v>0.53020833333333328</v>
      </c>
      <c r="D83" s="14">
        <v>10</v>
      </c>
      <c r="E83" s="14">
        <v>48</v>
      </c>
      <c r="F83" s="38">
        <f t="shared" si="11"/>
        <v>4.8</v>
      </c>
      <c r="G83" s="14">
        <v>19</v>
      </c>
      <c r="H83" s="38">
        <f t="shared" si="12"/>
        <v>1.9</v>
      </c>
      <c r="I83" s="14">
        <v>9</v>
      </c>
      <c r="J83" s="113">
        <f t="shared" si="13"/>
        <v>0.9</v>
      </c>
      <c r="K83" s="14">
        <v>0</v>
      </c>
      <c r="L83" s="25">
        <f t="shared" si="14"/>
        <v>0</v>
      </c>
      <c r="M83" s="25"/>
      <c r="N83" s="14"/>
      <c r="O83" s="14"/>
      <c r="P83" s="14"/>
      <c r="Q83" s="14" t="s">
        <v>18</v>
      </c>
      <c r="R83" s="14"/>
      <c r="S83" s="14"/>
      <c r="T83" s="14"/>
      <c r="U83" s="14"/>
      <c r="V83" s="14"/>
      <c r="W83" s="136"/>
    </row>
    <row r="84" spans="1:26" x14ac:dyDescent="0.15">
      <c r="A84" s="94"/>
      <c r="B84" s="37">
        <v>0.53437500000000004</v>
      </c>
      <c r="C84" s="37">
        <v>0.54131944444444446</v>
      </c>
      <c r="D84" s="14">
        <v>10</v>
      </c>
      <c r="E84" s="14">
        <v>58</v>
      </c>
      <c r="F84" s="38">
        <f t="shared" si="11"/>
        <v>5.8</v>
      </c>
      <c r="G84" s="14">
        <v>6</v>
      </c>
      <c r="H84" s="38">
        <f t="shared" si="12"/>
        <v>0.6</v>
      </c>
      <c r="I84" s="14">
        <v>12</v>
      </c>
      <c r="J84" s="113">
        <f t="shared" si="13"/>
        <v>1.2</v>
      </c>
      <c r="K84" s="14">
        <v>0</v>
      </c>
      <c r="L84" s="25">
        <f t="shared" si="14"/>
        <v>0</v>
      </c>
      <c r="M84" s="25"/>
      <c r="N84" s="14"/>
      <c r="O84" s="170" t="s">
        <v>18</v>
      </c>
      <c r="P84" s="170" t="s">
        <v>18</v>
      </c>
      <c r="Q84" s="38" t="s">
        <v>18</v>
      </c>
      <c r="R84" s="170"/>
      <c r="S84" s="38" t="s">
        <v>18</v>
      </c>
      <c r="T84" s="170" t="s">
        <v>18</v>
      </c>
      <c r="U84" s="113" t="s">
        <v>18</v>
      </c>
      <c r="V84" s="170"/>
      <c r="W84" s="171" t="s">
        <v>18</v>
      </c>
    </row>
    <row r="85" spans="1:26" x14ac:dyDescent="0.15">
      <c r="A85" s="94"/>
      <c r="B85" s="37">
        <v>0.51458333333333328</v>
      </c>
      <c r="C85" s="37">
        <v>0.52152777777777781</v>
      </c>
      <c r="D85" s="14">
        <v>10</v>
      </c>
      <c r="E85" s="14">
        <v>84</v>
      </c>
      <c r="F85" s="38">
        <f t="shared" si="11"/>
        <v>8.4</v>
      </c>
      <c r="G85" s="14">
        <v>8</v>
      </c>
      <c r="H85" s="38">
        <f t="shared" si="12"/>
        <v>0.8</v>
      </c>
      <c r="I85" s="14">
        <v>10</v>
      </c>
      <c r="J85" s="113">
        <f t="shared" si="13"/>
        <v>1</v>
      </c>
      <c r="K85" s="14">
        <v>0</v>
      </c>
      <c r="L85" s="25">
        <f t="shared" si="14"/>
        <v>0</v>
      </c>
      <c r="M85" s="25"/>
      <c r="N85" s="14"/>
      <c r="O85" s="170">
        <f>SUM(D81:D85)</f>
        <v>50</v>
      </c>
      <c r="P85" s="170">
        <f>SUM(E81:E85)</f>
        <v>256</v>
      </c>
      <c r="Q85" s="38">
        <f>+P85/O85</f>
        <v>5.12</v>
      </c>
      <c r="R85" s="170">
        <f>SUM(G81:G85)</f>
        <v>43</v>
      </c>
      <c r="S85" s="38">
        <f>+R85/O85</f>
        <v>0.86</v>
      </c>
      <c r="T85" s="170">
        <f>SUM(I81:I85)</f>
        <v>45</v>
      </c>
      <c r="U85" s="113">
        <f>+T85/O85</f>
        <v>0.9</v>
      </c>
      <c r="V85" s="170">
        <f>SUM(K81:K85)</f>
        <v>0</v>
      </c>
      <c r="W85" s="171">
        <f>+V85/O85</f>
        <v>0</v>
      </c>
    </row>
    <row r="86" spans="1:26" x14ac:dyDescent="0.15">
      <c r="A86" s="142" t="s">
        <v>245</v>
      </c>
      <c r="B86" s="37">
        <v>0.4604166666666667</v>
      </c>
      <c r="C86" s="37">
        <v>0.46736111111111112</v>
      </c>
      <c r="D86" s="14">
        <v>10</v>
      </c>
      <c r="E86" s="14">
        <v>14</v>
      </c>
      <c r="F86" s="38">
        <f t="shared" si="11"/>
        <v>1.4</v>
      </c>
      <c r="G86" s="14">
        <v>4</v>
      </c>
      <c r="H86" s="38">
        <f t="shared" si="12"/>
        <v>0.4</v>
      </c>
      <c r="I86" s="14">
        <v>15</v>
      </c>
      <c r="J86" s="113">
        <f t="shared" si="13"/>
        <v>1.5</v>
      </c>
      <c r="K86" s="14">
        <v>0</v>
      </c>
      <c r="L86" s="25">
        <f t="shared" si="14"/>
        <v>0</v>
      </c>
      <c r="M86" s="25"/>
      <c r="N86" s="14"/>
      <c r="O86" s="14"/>
      <c r="P86" s="14"/>
      <c r="Q86" s="14"/>
      <c r="R86" s="14"/>
      <c r="S86" s="14"/>
      <c r="T86" s="14"/>
      <c r="U86" s="14"/>
      <c r="V86" s="14"/>
      <c r="W86" s="136"/>
    </row>
    <row r="87" spans="1:26" x14ac:dyDescent="0.15">
      <c r="A87" s="94"/>
      <c r="B87" s="36">
        <v>0.49861111111111112</v>
      </c>
      <c r="C87" s="36">
        <v>0.50555555555555554</v>
      </c>
      <c r="D87" s="14">
        <v>10</v>
      </c>
      <c r="E87" s="14">
        <v>69</v>
      </c>
      <c r="F87" s="38">
        <f t="shared" si="11"/>
        <v>6.9</v>
      </c>
      <c r="G87" s="14">
        <v>8</v>
      </c>
      <c r="H87" s="38">
        <f t="shared" si="12"/>
        <v>0.8</v>
      </c>
      <c r="I87" s="14">
        <v>14</v>
      </c>
      <c r="J87" s="113">
        <f t="shared" si="13"/>
        <v>1.4</v>
      </c>
      <c r="K87" s="14">
        <v>0</v>
      </c>
      <c r="L87" s="25">
        <f t="shared" si="14"/>
        <v>0</v>
      </c>
      <c r="M87" s="25"/>
      <c r="N87" s="14"/>
      <c r="O87" s="14"/>
      <c r="P87" s="14" t="s">
        <v>18</v>
      </c>
      <c r="Q87" s="14" t="s">
        <v>18</v>
      </c>
      <c r="R87" s="14"/>
      <c r="S87" s="14"/>
      <c r="T87" s="14"/>
      <c r="U87" s="14"/>
      <c r="V87" s="14"/>
      <c r="W87" s="136"/>
    </row>
    <row r="88" spans="1:26" x14ac:dyDescent="0.15">
      <c r="A88" s="94"/>
      <c r="B88" s="37">
        <v>0.54236111111111118</v>
      </c>
      <c r="C88" s="37">
        <v>0.5493055555555556</v>
      </c>
      <c r="D88" s="14">
        <v>10</v>
      </c>
      <c r="E88" s="14">
        <v>63</v>
      </c>
      <c r="F88" s="38">
        <f t="shared" si="11"/>
        <v>6.3</v>
      </c>
      <c r="G88" s="14">
        <v>9</v>
      </c>
      <c r="H88" s="38">
        <f t="shared" si="12"/>
        <v>0.9</v>
      </c>
      <c r="I88" s="14">
        <v>7</v>
      </c>
      <c r="J88" s="113">
        <f t="shared" si="13"/>
        <v>0.7</v>
      </c>
      <c r="K88" s="14">
        <v>0</v>
      </c>
      <c r="L88" s="25">
        <f t="shared" si="14"/>
        <v>0</v>
      </c>
      <c r="M88" s="25"/>
      <c r="N88" s="64" t="s">
        <v>18</v>
      </c>
      <c r="O88" s="170"/>
      <c r="P88" s="14"/>
      <c r="Q88" s="14"/>
      <c r="R88" s="14"/>
      <c r="S88" s="14"/>
      <c r="T88" s="14"/>
      <c r="U88" s="14"/>
      <c r="V88" s="14"/>
      <c r="W88" s="136"/>
    </row>
    <row r="89" spans="1:26" ht="14" thickBot="1" x14ac:dyDescent="0.2">
      <c r="A89" s="94"/>
      <c r="B89" s="37">
        <v>0.50624999999999998</v>
      </c>
      <c r="C89" s="37">
        <v>0.5131944444444444</v>
      </c>
      <c r="D89" s="14">
        <v>10</v>
      </c>
      <c r="E89" s="14">
        <v>85</v>
      </c>
      <c r="F89" s="38">
        <f t="shared" si="11"/>
        <v>8.5</v>
      </c>
      <c r="G89" s="14">
        <v>8</v>
      </c>
      <c r="H89" s="38">
        <f t="shared" si="12"/>
        <v>0.8</v>
      </c>
      <c r="I89" s="14">
        <v>9</v>
      </c>
      <c r="J89" s="113">
        <f t="shared" si="13"/>
        <v>0.9</v>
      </c>
      <c r="K89" s="14">
        <v>0</v>
      </c>
      <c r="L89" s="25">
        <f t="shared" si="14"/>
        <v>0</v>
      </c>
      <c r="M89" s="25"/>
      <c r="N89" s="14"/>
      <c r="O89" s="170">
        <f>SUM(D86:D89)</f>
        <v>40</v>
      </c>
      <c r="P89" s="170">
        <f>SUM(E86:E89)</f>
        <v>231</v>
      </c>
      <c r="Q89" s="38">
        <f>+P89/O89</f>
        <v>5.7750000000000004</v>
      </c>
      <c r="R89" s="170">
        <f>SUM(G86:G89)</f>
        <v>29</v>
      </c>
      <c r="S89" s="38">
        <f>+R89/O89</f>
        <v>0.72499999999999998</v>
      </c>
      <c r="T89" s="170">
        <f>SUM(I86:I89)</f>
        <v>45</v>
      </c>
      <c r="U89" s="113">
        <f>+T89/O89</f>
        <v>1.125</v>
      </c>
      <c r="V89" s="170">
        <f>SUM(K86:K89)</f>
        <v>0</v>
      </c>
      <c r="W89" s="171">
        <f>+V89/O89</f>
        <v>0</v>
      </c>
      <c r="Z89" t="s">
        <v>18</v>
      </c>
    </row>
    <row r="90" spans="1:26" ht="14" thickBot="1" x14ac:dyDescent="0.2">
      <c r="A90" s="502" t="s">
        <v>217</v>
      </c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329" t="s">
        <v>214</v>
      </c>
      <c r="O90" s="98">
        <f>SUM(O67:O89)</f>
        <v>240</v>
      </c>
      <c r="P90" s="98">
        <f>SUM(P67:P89)</f>
        <v>1268</v>
      </c>
      <c r="Q90" s="102">
        <f>+P90/O90</f>
        <v>5.2833333333333332</v>
      </c>
      <c r="R90" s="98">
        <f>SUM(R67:R89)</f>
        <v>474</v>
      </c>
      <c r="S90" s="102">
        <f>+R90/O90</f>
        <v>1.9750000000000001</v>
      </c>
      <c r="T90" s="98">
        <f>SUM(T67:T89)</f>
        <v>167</v>
      </c>
      <c r="U90" s="102">
        <f>+T90/O90</f>
        <v>0.6958333333333333</v>
      </c>
      <c r="V90" s="98">
        <f>SUM(V67:V89)</f>
        <v>8</v>
      </c>
      <c r="W90" s="293">
        <f>+V90/O90</f>
        <v>3.3333333333333333E-2</v>
      </c>
    </row>
    <row r="91" spans="1:26" x14ac:dyDescent="0.15">
      <c r="A91" s="148" t="s">
        <v>241</v>
      </c>
      <c r="B91" s="37">
        <v>0.66666666666666663</v>
      </c>
      <c r="C91" s="37">
        <v>0.67708333333333337</v>
      </c>
      <c r="D91" s="14">
        <v>15</v>
      </c>
      <c r="E91" s="14">
        <v>66</v>
      </c>
      <c r="F91" s="38">
        <f t="shared" ref="F91:F116" si="15">+E91/D91</f>
        <v>4.4000000000000004</v>
      </c>
      <c r="G91" s="14">
        <v>29</v>
      </c>
      <c r="H91" s="38">
        <f t="shared" ref="H91:H114" si="16">+G91/D91</f>
        <v>1.9333333333333333</v>
      </c>
      <c r="I91" s="14">
        <v>18</v>
      </c>
      <c r="J91" s="113">
        <f t="shared" ref="J91:J114" si="17">+I91/D91</f>
        <v>1.2</v>
      </c>
      <c r="K91" s="14">
        <v>1</v>
      </c>
      <c r="L91" s="25">
        <f t="shared" ref="L91:L114" si="18">+K91/D91</f>
        <v>6.6666666666666666E-2</v>
      </c>
      <c r="M91" s="25"/>
      <c r="N91" s="14"/>
      <c r="O91" s="64"/>
      <c r="P91" s="14"/>
      <c r="Q91" s="14"/>
      <c r="R91" s="14"/>
      <c r="S91" s="14"/>
      <c r="T91" s="14"/>
      <c r="U91" s="14"/>
      <c r="V91" s="14"/>
      <c r="W91" s="136"/>
    </row>
    <row r="92" spans="1:26" x14ac:dyDescent="0.15">
      <c r="A92" s="148"/>
      <c r="B92" s="37">
        <v>0.6333333333333333</v>
      </c>
      <c r="C92" s="37">
        <v>0.64375000000000004</v>
      </c>
      <c r="D92" s="14">
        <v>15</v>
      </c>
      <c r="E92" s="14">
        <v>60</v>
      </c>
      <c r="F92" s="38">
        <f t="shared" si="15"/>
        <v>4</v>
      </c>
      <c r="G92" s="14">
        <v>33</v>
      </c>
      <c r="H92" s="38">
        <f t="shared" si="16"/>
        <v>2.2000000000000002</v>
      </c>
      <c r="I92" s="14">
        <v>25</v>
      </c>
      <c r="J92" s="113">
        <f t="shared" si="17"/>
        <v>1.6666666666666667</v>
      </c>
      <c r="K92" s="14">
        <v>10</v>
      </c>
      <c r="L92" s="25">
        <f t="shared" si="18"/>
        <v>0.66666666666666663</v>
      </c>
      <c r="M92" s="25"/>
      <c r="N92" s="14"/>
      <c r="O92" s="14"/>
      <c r="P92" s="14"/>
      <c r="Q92" s="14"/>
      <c r="R92" s="14"/>
      <c r="S92" s="14"/>
      <c r="T92" s="14"/>
      <c r="U92" s="14" t="s">
        <v>18</v>
      </c>
      <c r="V92" s="14"/>
      <c r="W92" s="136"/>
    </row>
    <row r="93" spans="1:26" x14ac:dyDescent="0.15">
      <c r="A93" s="148"/>
      <c r="B93" s="37">
        <v>0.70486111111111116</v>
      </c>
      <c r="C93" s="37">
        <v>0.71527777777777779</v>
      </c>
      <c r="D93" s="14">
        <v>15</v>
      </c>
      <c r="E93" s="14">
        <v>116</v>
      </c>
      <c r="F93" s="38">
        <f t="shared" si="15"/>
        <v>7.7333333333333334</v>
      </c>
      <c r="G93" s="14">
        <v>49</v>
      </c>
      <c r="H93" s="38">
        <f t="shared" si="16"/>
        <v>3.2666666666666666</v>
      </c>
      <c r="I93" s="14">
        <v>20</v>
      </c>
      <c r="J93" s="113">
        <f t="shared" si="17"/>
        <v>1.3333333333333333</v>
      </c>
      <c r="K93" s="14">
        <v>6</v>
      </c>
      <c r="L93" s="25">
        <f t="shared" si="18"/>
        <v>0.4</v>
      </c>
      <c r="M93" s="25"/>
      <c r="N93" s="14"/>
      <c r="O93" s="14"/>
      <c r="P93" s="14"/>
      <c r="Q93" s="38"/>
      <c r="R93" s="14"/>
      <c r="S93" s="38"/>
      <c r="T93" s="14"/>
      <c r="U93" s="38"/>
      <c r="V93" s="14"/>
      <c r="W93" s="172"/>
    </row>
    <row r="94" spans="1:26" x14ac:dyDescent="0.15">
      <c r="A94" s="148"/>
      <c r="B94" s="37">
        <v>0.76249999999999996</v>
      </c>
      <c r="C94" s="37">
        <v>0.7729166666666667</v>
      </c>
      <c r="D94" s="14">
        <v>15</v>
      </c>
      <c r="E94" s="14">
        <v>115</v>
      </c>
      <c r="F94" s="38">
        <f t="shared" si="15"/>
        <v>7.666666666666667</v>
      </c>
      <c r="G94" s="14">
        <v>42</v>
      </c>
      <c r="H94" s="38">
        <f t="shared" si="16"/>
        <v>2.8</v>
      </c>
      <c r="I94" s="14">
        <v>26</v>
      </c>
      <c r="J94" s="113">
        <f t="shared" si="17"/>
        <v>1.7333333333333334</v>
      </c>
      <c r="K94" s="14">
        <v>2</v>
      </c>
      <c r="L94" s="25">
        <f t="shared" si="18"/>
        <v>0.13333333333333333</v>
      </c>
      <c r="M94" s="25"/>
      <c r="N94" s="14"/>
      <c r="O94" s="170">
        <f>SUM(D91:D94)</f>
        <v>60</v>
      </c>
      <c r="P94" s="170">
        <f>SUM(E91:E94)</f>
        <v>357</v>
      </c>
      <c r="Q94" s="38">
        <f>+P94/O94</f>
        <v>5.95</v>
      </c>
      <c r="R94" s="170">
        <f>SUM(G91:G94)</f>
        <v>153</v>
      </c>
      <c r="S94" s="38">
        <f>+R94/O94</f>
        <v>2.5499999999999998</v>
      </c>
      <c r="T94" s="170">
        <f>SUM(I91:I94)</f>
        <v>89</v>
      </c>
      <c r="U94" s="113">
        <f>+T94/O94</f>
        <v>1.4833333333333334</v>
      </c>
      <c r="V94" s="170">
        <f>SUM(K91:K94)</f>
        <v>19</v>
      </c>
      <c r="W94" s="171">
        <f>+V94/O94</f>
        <v>0.31666666666666665</v>
      </c>
    </row>
    <row r="95" spans="1:26" x14ac:dyDescent="0.15">
      <c r="A95" s="142" t="s">
        <v>242</v>
      </c>
      <c r="B95" s="37">
        <v>0.67083333333333339</v>
      </c>
      <c r="C95" s="37">
        <v>0.68125000000000002</v>
      </c>
      <c r="D95" s="14">
        <v>15</v>
      </c>
      <c r="E95" s="14">
        <v>46</v>
      </c>
      <c r="F95" s="38">
        <f t="shared" si="15"/>
        <v>3.0666666666666669</v>
      </c>
      <c r="G95" s="14">
        <v>24</v>
      </c>
      <c r="H95" s="38">
        <f t="shared" si="16"/>
        <v>1.6</v>
      </c>
      <c r="I95" s="14">
        <v>5</v>
      </c>
      <c r="J95" s="113">
        <f t="shared" si="17"/>
        <v>0.33333333333333331</v>
      </c>
      <c r="K95" s="14">
        <v>0</v>
      </c>
      <c r="L95" s="25">
        <f t="shared" si="18"/>
        <v>0</v>
      </c>
      <c r="M95" s="25"/>
      <c r="N95" s="14"/>
      <c r="O95" s="14"/>
      <c r="P95" s="14"/>
      <c r="Q95" s="14"/>
      <c r="R95" s="14"/>
      <c r="S95" s="14"/>
      <c r="T95" s="14"/>
      <c r="U95" s="14"/>
      <c r="V95" s="14"/>
      <c r="W95" s="136"/>
    </row>
    <row r="96" spans="1:26" x14ac:dyDescent="0.15">
      <c r="A96" s="94"/>
      <c r="B96" s="37">
        <v>0.71458333333333324</v>
      </c>
      <c r="C96" s="37">
        <v>0.72499999999999998</v>
      </c>
      <c r="D96" s="14">
        <v>15</v>
      </c>
      <c r="E96" s="14">
        <v>60</v>
      </c>
      <c r="F96" s="38">
        <f t="shared" si="15"/>
        <v>4</v>
      </c>
      <c r="G96" s="14">
        <v>45</v>
      </c>
      <c r="H96" s="38">
        <f t="shared" si="16"/>
        <v>3</v>
      </c>
      <c r="I96" s="14">
        <v>23</v>
      </c>
      <c r="J96" s="113">
        <f t="shared" si="17"/>
        <v>1.5333333333333334</v>
      </c>
      <c r="K96" s="14">
        <v>0</v>
      </c>
      <c r="L96" s="25">
        <f t="shared" si="18"/>
        <v>0</v>
      </c>
      <c r="M96" s="25"/>
      <c r="N96" s="14"/>
      <c r="O96" s="14"/>
      <c r="P96" s="14"/>
      <c r="Q96" s="14"/>
      <c r="R96" s="14"/>
      <c r="S96" s="14"/>
      <c r="T96" s="14"/>
      <c r="U96" s="14"/>
      <c r="V96" s="14"/>
      <c r="W96" s="136"/>
    </row>
    <row r="97" spans="1:24" x14ac:dyDescent="0.15">
      <c r="A97" s="94" t="s">
        <v>18</v>
      </c>
      <c r="B97" s="37">
        <v>0.74305555555555547</v>
      </c>
      <c r="C97" s="37">
        <v>0.75347222222222221</v>
      </c>
      <c r="D97" s="14">
        <v>15</v>
      </c>
      <c r="E97" s="14">
        <v>73</v>
      </c>
      <c r="F97" s="38">
        <f t="shared" si="15"/>
        <v>4.8666666666666663</v>
      </c>
      <c r="G97" s="14">
        <v>32</v>
      </c>
      <c r="H97" s="38">
        <f t="shared" si="16"/>
        <v>2.1333333333333333</v>
      </c>
      <c r="I97" s="14">
        <v>5</v>
      </c>
      <c r="J97" s="113">
        <f t="shared" si="17"/>
        <v>0.33333333333333331</v>
      </c>
      <c r="K97" s="14">
        <v>0</v>
      </c>
      <c r="L97" s="25">
        <f t="shared" si="18"/>
        <v>0</v>
      </c>
      <c r="M97" s="25"/>
      <c r="N97" s="14"/>
      <c r="O97" s="14"/>
      <c r="P97" s="14" t="s">
        <v>18</v>
      </c>
      <c r="Q97" s="14"/>
      <c r="R97" s="14"/>
      <c r="S97" s="14"/>
      <c r="T97" s="14"/>
      <c r="U97" s="14"/>
      <c r="V97" s="14"/>
      <c r="W97" s="136"/>
    </row>
    <row r="98" spans="1:24" x14ac:dyDescent="0.15">
      <c r="A98" s="94"/>
      <c r="B98" s="37">
        <v>0.77083333333333337</v>
      </c>
      <c r="C98" s="37">
        <v>0.78125</v>
      </c>
      <c r="D98" s="14">
        <v>15</v>
      </c>
      <c r="E98" s="14">
        <v>66</v>
      </c>
      <c r="F98" s="38">
        <f t="shared" si="15"/>
        <v>4.4000000000000004</v>
      </c>
      <c r="G98" s="14">
        <v>25</v>
      </c>
      <c r="H98" s="38">
        <f t="shared" si="16"/>
        <v>1.6666666666666667</v>
      </c>
      <c r="I98" s="14">
        <v>13</v>
      </c>
      <c r="J98" s="113">
        <f t="shared" si="17"/>
        <v>0.8666666666666667</v>
      </c>
      <c r="K98" s="14">
        <v>0</v>
      </c>
      <c r="L98" s="25">
        <f t="shared" si="18"/>
        <v>0</v>
      </c>
      <c r="M98" s="25"/>
      <c r="N98" s="14"/>
      <c r="O98" s="170">
        <f>SUM(D95:D98)</f>
        <v>60</v>
      </c>
      <c r="P98" s="170">
        <f>SUM(E95:E98)</f>
        <v>245</v>
      </c>
      <c r="Q98" s="38">
        <f>+P98/O98</f>
        <v>4.083333333333333</v>
      </c>
      <c r="R98" s="170">
        <f>SUM(G95:G98)</f>
        <v>126</v>
      </c>
      <c r="S98" s="38">
        <f>+R98/O98</f>
        <v>2.1</v>
      </c>
      <c r="T98" s="170">
        <f>SUM(I95:I98)</f>
        <v>46</v>
      </c>
      <c r="U98" s="113">
        <f>+T98/O98</f>
        <v>0.76666666666666672</v>
      </c>
      <c r="V98" s="170">
        <f>SUM(K95:K98)</f>
        <v>0</v>
      </c>
      <c r="W98" s="171">
        <f>+V98/O98</f>
        <v>0</v>
      </c>
    </row>
    <row r="99" spans="1:24" x14ac:dyDescent="0.15">
      <c r="A99" s="142" t="s">
        <v>243</v>
      </c>
      <c r="B99" s="37">
        <v>0.7055555555555556</v>
      </c>
      <c r="C99" s="37">
        <v>0.71597222222222223</v>
      </c>
      <c r="D99" s="14">
        <v>15</v>
      </c>
      <c r="E99" s="14">
        <v>71</v>
      </c>
      <c r="F99" s="38">
        <f t="shared" si="15"/>
        <v>4.7333333333333334</v>
      </c>
      <c r="G99" s="14">
        <v>60</v>
      </c>
      <c r="H99" s="38">
        <f t="shared" si="16"/>
        <v>4</v>
      </c>
      <c r="I99" s="14">
        <v>15</v>
      </c>
      <c r="J99" s="113">
        <f t="shared" si="17"/>
        <v>1</v>
      </c>
      <c r="K99" s="14">
        <v>3</v>
      </c>
      <c r="L99" s="25">
        <f t="shared" si="18"/>
        <v>0.2</v>
      </c>
      <c r="M99" s="25"/>
      <c r="N99" s="14"/>
      <c r="O99" s="14"/>
      <c r="P99" s="14"/>
      <c r="Q99" s="14"/>
      <c r="R99" s="14"/>
      <c r="S99" s="14"/>
      <c r="T99" s="14"/>
      <c r="U99" s="14"/>
      <c r="V99" s="14"/>
      <c r="W99" s="136"/>
    </row>
    <row r="100" spans="1:24" x14ac:dyDescent="0.15">
      <c r="A100" s="94"/>
      <c r="B100" s="37">
        <v>0.6791666666666667</v>
      </c>
      <c r="C100" s="37">
        <v>0.7729166666666667</v>
      </c>
      <c r="D100" s="14">
        <v>15</v>
      </c>
      <c r="E100" s="14">
        <v>74</v>
      </c>
      <c r="F100" s="38">
        <f t="shared" si="15"/>
        <v>4.9333333333333336</v>
      </c>
      <c r="G100" s="14">
        <v>69</v>
      </c>
      <c r="H100" s="38">
        <f t="shared" si="16"/>
        <v>4.5999999999999996</v>
      </c>
      <c r="I100" s="14">
        <v>22</v>
      </c>
      <c r="J100" s="113">
        <f t="shared" si="17"/>
        <v>1.4666666666666666</v>
      </c>
      <c r="K100" s="14">
        <v>3</v>
      </c>
      <c r="L100" s="25">
        <f t="shared" si="18"/>
        <v>0.2</v>
      </c>
      <c r="M100" s="25"/>
      <c r="N100" s="14"/>
      <c r="O100" s="14"/>
      <c r="P100" s="14"/>
      <c r="Q100" s="14"/>
      <c r="R100" s="14"/>
      <c r="S100" s="14"/>
      <c r="T100" s="14"/>
      <c r="U100" s="14"/>
      <c r="V100" s="14"/>
      <c r="W100" s="136"/>
    </row>
    <row r="101" spans="1:24" x14ac:dyDescent="0.15">
      <c r="A101" s="94"/>
      <c r="B101" s="37">
        <v>0.69097222222222221</v>
      </c>
      <c r="C101" s="37">
        <v>0.70138888888888884</v>
      </c>
      <c r="D101" s="14">
        <v>15</v>
      </c>
      <c r="E101" s="14">
        <v>76</v>
      </c>
      <c r="F101" s="38">
        <f t="shared" si="15"/>
        <v>5.0666666666666664</v>
      </c>
      <c r="G101" s="14">
        <v>51</v>
      </c>
      <c r="H101" s="38">
        <f t="shared" si="16"/>
        <v>3.4</v>
      </c>
      <c r="I101" s="14">
        <v>13</v>
      </c>
      <c r="J101" s="113">
        <f t="shared" si="17"/>
        <v>0.8666666666666667</v>
      </c>
      <c r="K101" s="14">
        <v>0</v>
      </c>
      <c r="L101" s="25">
        <f t="shared" si="18"/>
        <v>0</v>
      </c>
      <c r="M101" s="25"/>
      <c r="N101" s="14"/>
      <c r="O101" s="14"/>
      <c r="P101" s="14"/>
      <c r="Q101" s="14"/>
      <c r="R101" s="14"/>
      <c r="S101" s="14"/>
      <c r="T101" s="14"/>
      <c r="U101" s="14"/>
      <c r="V101" s="14"/>
      <c r="W101" s="136"/>
    </row>
    <row r="102" spans="1:24" x14ac:dyDescent="0.15">
      <c r="A102" s="94"/>
      <c r="B102" s="37">
        <v>0.75</v>
      </c>
      <c r="C102" s="37">
        <v>0.76041666666666663</v>
      </c>
      <c r="D102" s="14">
        <v>15</v>
      </c>
      <c r="E102" s="14">
        <v>65</v>
      </c>
      <c r="F102" s="38">
        <f t="shared" si="15"/>
        <v>4.333333333333333</v>
      </c>
      <c r="G102" s="14">
        <v>68</v>
      </c>
      <c r="H102" s="38">
        <f t="shared" si="16"/>
        <v>4.5333333333333332</v>
      </c>
      <c r="I102" s="14">
        <v>23</v>
      </c>
      <c r="J102" s="113">
        <f t="shared" si="17"/>
        <v>1.5333333333333334</v>
      </c>
      <c r="K102" s="14">
        <v>0</v>
      </c>
      <c r="L102" s="25">
        <f t="shared" si="18"/>
        <v>0</v>
      </c>
      <c r="M102" s="25"/>
      <c r="N102" s="14"/>
      <c r="O102" s="170">
        <f>SUM(D99:D102)</f>
        <v>60</v>
      </c>
      <c r="P102" s="170">
        <f>SUM(E99:E102)</f>
        <v>286</v>
      </c>
      <c r="Q102" s="38">
        <f>+P102/O102</f>
        <v>4.7666666666666666</v>
      </c>
      <c r="R102" s="170">
        <f>SUM(G99:G102)</f>
        <v>248</v>
      </c>
      <c r="S102" s="38">
        <f>+R102/O102</f>
        <v>4.1333333333333337</v>
      </c>
      <c r="T102" s="170">
        <f>SUM(I99:I102)</f>
        <v>73</v>
      </c>
      <c r="U102" s="113">
        <f>+T102/O102</f>
        <v>1.2166666666666666</v>
      </c>
      <c r="V102" s="170">
        <f>SUM(K99:K102)</f>
        <v>6</v>
      </c>
      <c r="W102" s="171">
        <f>+V102/O102</f>
        <v>0.1</v>
      </c>
    </row>
    <row r="103" spans="1:24" x14ac:dyDescent="0.15">
      <c r="A103" s="142" t="s">
        <v>244</v>
      </c>
      <c r="B103" s="37">
        <v>0.68055555555555547</v>
      </c>
      <c r="C103" s="37">
        <v>0.69097222222222221</v>
      </c>
      <c r="D103" s="14">
        <v>15</v>
      </c>
      <c r="E103" s="14">
        <v>52</v>
      </c>
      <c r="F103" s="38">
        <f t="shared" si="15"/>
        <v>3.4666666666666668</v>
      </c>
      <c r="G103" s="14">
        <v>14</v>
      </c>
      <c r="H103" s="38">
        <f t="shared" si="16"/>
        <v>0.93333333333333335</v>
      </c>
      <c r="I103" s="14">
        <v>25</v>
      </c>
      <c r="J103" s="113">
        <f t="shared" si="17"/>
        <v>1.6666666666666667</v>
      </c>
      <c r="K103" s="14">
        <v>3</v>
      </c>
      <c r="L103" s="25">
        <f t="shared" si="18"/>
        <v>0.2</v>
      </c>
      <c r="M103" s="25"/>
      <c r="N103" s="14"/>
      <c r="O103" s="14" t="s">
        <v>18</v>
      </c>
      <c r="P103" s="14"/>
      <c r="Q103" s="14"/>
      <c r="R103" s="14"/>
      <c r="S103" s="14"/>
      <c r="T103" s="14"/>
      <c r="U103" s="14"/>
      <c r="V103" s="14"/>
      <c r="W103" s="136"/>
    </row>
    <row r="104" spans="1:24" x14ac:dyDescent="0.15">
      <c r="A104" s="94"/>
      <c r="B104" s="37">
        <v>0.65208333333333335</v>
      </c>
      <c r="C104" s="37">
        <v>0.66249999999999998</v>
      </c>
      <c r="D104" s="14">
        <v>15</v>
      </c>
      <c r="E104" s="14">
        <v>83</v>
      </c>
      <c r="F104" s="38">
        <f t="shared" si="15"/>
        <v>5.5333333333333332</v>
      </c>
      <c r="G104" s="14">
        <v>28</v>
      </c>
      <c r="H104" s="38">
        <f t="shared" si="16"/>
        <v>1.8666666666666667</v>
      </c>
      <c r="I104" s="14">
        <v>22</v>
      </c>
      <c r="J104" s="113">
        <f t="shared" si="17"/>
        <v>1.4666666666666666</v>
      </c>
      <c r="K104" s="14">
        <v>1</v>
      </c>
      <c r="L104" s="25">
        <f t="shared" si="18"/>
        <v>6.6666666666666666E-2</v>
      </c>
      <c r="M104" s="25"/>
      <c r="N104" s="14"/>
      <c r="O104" s="14"/>
      <c r="P104" s="14"/>
      <c r="Q104" s="14" t="s">
        <v>18</v>
      </c>
      <c r="R104" s="14"/>
      <c r="S104" s="14"/>
      <c r="T104" s="14"/>
      <c r="U104" s="14"/>
      <c r="V104" s="14"/>
      <c r="W104" s="136"/>
    </row>
    <row r="105" spans="1:24" x14ac:dyDescent="0.15">
      <c r="A105" s="94"/>
      <c r="B105" s="37">
        <v>0.72013888888888899</v>
      </c>
      <c r="C105" s="37">
        <v>0.73055555555555562</v>
      </c>
      <c r="D105" s="14">
        <v>15</v>
      </c>
      <c r="E105" s="14">
        <v>70</v>
      </c>
      <c r="F105" s="38">
        <f t="shared" si="15"/>
        <v>4.666666666666667</v>
      </c>
      <c r="G105" s="14">
        <v>18</v>
      </c>
      <c r="H105" s="38">
        <f t="shared" si="16"/>
        <v>1.2</v>
      </c>
      <c r="I105" s="14">
        <v>54</v>
      </c>
      <c r="J105" s="113">
        <f t="shared" si="17"/>
        <v>3.6</v>
      </c>
      <c r="K105" s="14">
        <v>0</v>
      </c>
      <c r="L105" s="25">
        <f t="shared" si="18"/>
        <v>0</v>
      </c>
      <c r="M105" s="25"/>
      <c r="N105" s="14"/>
      <c r="O105" s="14"/>
      <c r="P105" s="14" t="s">
        <v>18</v>
      </c>
      <c r="Q105" s="14"/>
      <c r="R105" s="14"/>
      <c r="S105" s="14"/>
      <c r="T105" s="14"/>
      <c r="U105" s="14"/>
      <c r="V105" s="14"/>
      <c r="W105" s="136"/>
    </row>
    <row r="106" spans="1:24" x14ac:dyDescent="0.15">
      <c r="A106" s="94"/>
      <c r="B106" s="36">
        <v>0.77708333333333324</v>
      </c>
      <c r="C106" s="36">
        <v>0.78749999999999998</v>
      </c>
      <c r="D106" s="14">
        <v>15</v>
      </c>
      <c r="E106" s="14">
        <v>82</v>
      </c>
      <c r="F106" s="38">
        <f t="shared" si="15"/>
        <v>5.4666666666666668</v>
      </c>
      <c r="G106" s="14">
        <v>22</v>
      </c>
      <c r="H106" s="38">
        <f t="shared" si="16"/>
        <v>1.4666666666666666</v>
      </c>
      <c r="I106" s="14">
        <v>25</v>
      </c>
      <c r="J106" s="113">
        <f t="shared" si="17"/>
        <v>1.6666666666666667</v>
      </c>
      <c r="K106" s="14">
        <v>0</v>
      </c>
      <c r="L106" s="25">
        <f t="shared" si="18"/>
        <v>0</v>
      </c>
      <c r="M106" s="25"/>
      <c r="N106" s="14"/>
      <c r="O106" s="170">
        <f>SUM(D103:D106)</f>
        <v>60</v>
      </c>
      <c r="P106" s="170">
        <f>SUM(E103:E106)</f>
        <v>287</v>
      </c>
      <c r="Q106" s="38">
        <f>+P106/O106</f>
        <v>4.7833333333333332</v>
      </c>
      <c r="R106" s="170">
        <f>SUM(G103:G106)</f>
        <v>82</v>
      </c>
      <c r="S106" s="38">
        <f>+R106/O106</f>
        <v>1.3666666666666667</v>
      </c>
      <c r="T106" s="170">
        <f>SUM(I103:I106)</f>
        <v>126</v>
      </c>
      <c r="U106" s="113">
        <f>+T106/O106</f>
        <v>2.1</v>
      </c>
      <c r="V106" s="170">
        <f>SUM(K103:K106)</f>
        <v>4</v>
      </c>
      <c r="W106" s="171">
        <f>+V106/O106</f>
        <v>6.6666666666666666E-2</v>
      </c>
    </row>
    <row r="107" spans="1:24" x14ac:dyDescent="0.15">
      <c r="A107" s="142" t="s">
        <v>246</v>
      </c>
      <c r="B107" s="37">
        <v>0.68611111111111101</v>
      </c>
      <c r="C107" s="37">
        <v>0.69652777777777775</v>
      </c>
      <c r="D107" s="14">
        <v>15</v>
      </c>
      <c r="E107" s="14">
        <v>51</v>
      </c>
      <c r="F107" s="38">
        <f t="shared" si="15"/>
        <v>3.4</v>
      </c>
      <c r="G107" s="14">
        <v>18</v>
      </c>
      <c r="H107" s="38">
        <f t="shared" si="16"/>
        <v>1.2</v>
      </c>
      <c r="I107" s="14">
        <v>16</v>
      </c>
      <c r="J107" s="113">
        <f t="shared" si="17"/>
        <v>1.0666666666666667</v>
      </c>
      <c r="K107" s="14">
        <v>0</v>
      </c>
      <c r="L107" s="25">
        <f t="shared" si="18"/>
        <v>0</v>
      </c>
      <c r="M107" s="25"/>
      <c r="N107" s="14"/>
      <c r="O107" s="14"/>
      <c r="P107" s="14"/>
      <c r="Q107" s="14"/>
      <c r="R107" s="14"/>
      <c r="S107" s="14"/>
      <c r="T107" s="14"/>
      <c r="U107" s="14"/>
      <c r="V107" s="14"/>
      <c r="W107" s="136"/>
    </row>
    <row r="108" spans="1:24" x14ac:dyDescent="0.15">
      <c r="A108" s="94"/>
      <c r="B108" s="37">
        <v>0.72916666666666663</v>
      </c>
      <c r="C108" s="37">
        <v>0.73958333333333337</v>
      </c>
      <c r="D108" s="14">
        <v>15</v>
      </c>
      <c r="E108" s="14">
        <v>71</v>
      </c>
      <c r="F108" s="38">
        <f t="shared" si="15"/>
        <v>4.7333333333333334</v>
      </c>
      <c r="G108" s="14">
        <v>16</v>
      </c>
      <c r="H108" s="38">
        <f t="shared" si="16"/>
        <v>1.0666666666666667</v>
      </c>
      <c r="I108" s="14">
        <v>17</v>
      </c>
      <c r="J108" s="113">
        <f t="shared" si="17"/>
        <v>1.1333333333333333</v>
      </c>
      <c r="K108" s="14">
        <v>0</v>
      </c>
      <c r="L108" s="25">
        <f t="shared" si="18"/>
        <v>0</v>
      </c>
      <c r="M108" s="25"/>
      <c r="N108" s="14"/>
      <c r="O108" s="14"/>
      <c r="P108" s="14"/>
      <c r="Q108" s="14"/>
      <c r="R108" s="14"/>
      <c r="S108" s="14"/>
      <c r="T108" s="14"/>
      <c r="U108" s="14"/>
      <c r="V108" s="14"/>
      <c r="W108" s="136"/>
      <c r="X108" s="14"/>
    </row>
    <row r="109" spans="1:24" x14ac:dyDescent="0.15">
      <c r="A109" s="94"/>
      <c r="B109" s="37">
        <v>0.75555555555555554</v>
      </c>
      <c r="C109" s="37">
        <v>0.76597222222222217</v>
      </c>
      <c r="D109" s="14">
        <v>15</v>
      </c>
      <c r="E109" s="14">
        <v>67</v>
      </c>
      <c r="F109" s="38">
        <f t="shared" si="15"/>
        <v>4.4666666666666668</v>
      </c>
      <c r="G109" s="14">
        <v>25</v>
      </c>
      <c r="H109" s="38">
        <f t="shared" si="16"/>
        <v>1.6666666666666667</v>
      </c>
      <c r="I109" s="14">
        <v>14</v>
      </c>
      <c r="J109" s="113">
        <f t="shared" si="17"/>
        <v>0.93333333333333335</v>
      </c>
      <c r="K109" s="14">
        <v>0</v>
      </c>
      <c r="L109" s="25">
        <f t="shared" si="18"/>
        <v>0</v>
      </c>
      <c r="M109" s="25"/>
      <c r="N109" s="14"/>
      <c r="O109" s="170">
        <f>SUM(D107:D109)</f>
        <v>45</v>
      </c>
      <c r="P109" s="170">
        <f>SUM(E107:E109)</f>
        <v>189</v>
      </c>
      <c r="Q109" s="38">
        <f>+P109/O109</f>
        <v>4.2</v>
      </c>
      <c r="R109" s="170">
        <f>SUM(G107:G109)</f>
        <v>59</v>
      </c>
      <c r="S109" s="38">
        <f>+R109/O109</f>
        <v>1.3111111111111111</v>
      </c>
      <c r="T109" s="170">
        <f>SUM(I107:I109)</f>
        <v>47</v>
      </c>
      <c r="U109" s="113">
        <f>+T109/O109</f>
        <v>1.0444444444444445</v>
      </c>
      <c r="V109" s="170">
        <f>SUM(K107:K109)</f>
        <v>0</v>
      </c>
      <c r="W109" s="171">
        <f>+V109/O109</f>
        <v>0</v>
      </c>
    </row>
    <row r="110" spans="1:24" x14ac:dyDescent="0.15">
      <c r="A110" s="142" t="s">
        <v>245</v>
      </c>
      <c r="B110" s="37">
        <v>0.69236111111111109</v>
      </c>
      <c r="C110" s="37">
        <v>0.70277777777777783</v>
      </c>
      <c r="D110" s="14">
        <v>15</v>
      </c>
      <c r="E110" s="14">
        <v>79</v>
      </c>
      <c r="F110" s="38">
        <f t="shared" si="15"/>
        <v>5.2666666666666666</v>
      </c>
      <c r="G110" s="14">
        <v>19</v>
      </c>
      <c r="H110" s="38">
        <f t="shared" si="16"/>
        <v>1.2666666666666666</v>
      </c>
      <c r="I110" s="14">
        <v>21</v>
      </c>
      <c r="J110" s="113">
        <f t="shared" si="17"/>
        <v>1.4</v>
      </c>
      <c r="K110" s="14">
        <v>3</v>
      </c>
      <c r="L110" s="25">
        <f t="shared" si="18"/>
        <v>0.2</v>
      </c>
      <c r="M110" s="25"/>
      <c r="N110" s="14"/>
      <c r="O110" s="14"/>
      <c r="P110" s="14"/>
      <c r="Q110" s="14"/>
      <c r="R110" s="14"/>
      <c r="S110" s="14"/>
      <c r="T110" s="14"/>
      <c r="U110" s="14"/>
      <c r="V110" s="14"/>
      <c r="W110" s="136"/>
    </row>
    <row r="111" spans="1:24" x14ac:dyDescent="0.15">
      <c r="A111" s="94"/>
      <c r="B111" s="37">
        <v>0.66180555555555554</v>
      </c>
      <c r="C111" s="37">
        <v>0.75555555555555554</v>
      </c>
      <c r="D111" s="14">
        <v>15</v>
      </c>
      <c r="E111" s="14">
        <v>139</v>
      </c>
      <c r="F111" s="38">
        <f t="shared" si="15"/>
        <v>9.2666666666666675</v>
      </c>
      <c r="G111" s="14">
        <v>28</v>
      </c>
      <c r="H111" s="38">
        <f t="shared" si="16"/>
        <v>1.8666666666666667</v>
      </c>
      <c r="I111" s="14">
        <v>29</v>
      </c>
      <c r="J111" s="113">
        <f t="shared" si="17"/>
        <v>1.9333333333333333</v>
      </c>
      <c r="K111" s="14">
        <v>4</v>
      </c>
      <c r="L111" s="25">
        <f t="shared" si="18"/>
        <v>0.26666666666666666</v>
      </c>
      <c r="M111" s="25"/>
      <c r="N111" s="14"/>
      <c r="O111" s="14"/>
      <c r="P111" s="14"/>
      <c r="Q111" s="14"/>
      <c r="R111" s="14"/>
      <c r="S111" s="14"/>
      <c r="T111" s="14"/>
      <c r="U111" s="14"/>
      <c r="V111" s="14"/>
      <c r="W111" s="136"/>
    </row>
    <row r="112" spans="1:24" x14ac:dyDescent="0.15">
      <c r="A112" s="94"/>
      <c r="B112" s="37">
        <v>0.67500000000000004</v>
      </c>
      <c r="C112" s="37">
        <v>0.68541666666666667</v>
      </c>
      <c r="D112" s="14">
        <v>15</v>
      </c>
      <c r="E112" s="14">
        <v>50</v>
      </c>
      <c r="F112" s="38">
        <f t="shared" si="15"/>
        <v>3.3333333333333335</v>
      </c>
      <c r="G112" s="14">
        <v>16</v>
      </c>
      <c r="H112" s="38">
        <f t="shared" si="16"/>
        <v>1.0666666666666667</v>
      </c>
      <c r="I112" s="14">
        <v>30</v>
      </c>
      <c r="J112" s="113">
        <f t="shared" si="17"/>
        <v>2</v>
      </c>
      <c r="K112" s="14">
        <v>0</v>
      </c>
      <c r="L112" s="25">
        <f t="shared" si="18"/>
        <v>0</v>
      </c>
      <c r="M112" s="25"/>
      <c r="N112" s="14"/>
      <c r="O112" s="14"/>
      <c r="P112" s="14"/>
      <c r="Q112" s="14"/>
      <c r="R112" s="14"/>
      <c r="S112" s="14"/>
      <c r="T112" s="14"/>
      <c r="U112" s="14"/>
      <c r="V112" s="14"/>
      <c r="W112" s="136"/>
    </row>
    <row r="113" spans="1:25" ht="14" thickBot="1" x14ac:dyDescent="0.2">
      <c r="A113" s="95"/>
      <c r="B113" s="173">
        <v>0.73472222222222217</v>
      </c>
      <c r="C113" s="173">
        <v>0.74513888888888891</v>
      </c>
      <c r="D113" s="34">
        <v>15</v>
      </c>
      <c r="E113" s="34">
        <v>119</v>
      </c>
      <c r="F113" s="174">
        <f t="shared" si="15"/>
        <v>7.9333333333333336</v>
      </c>
      <c r="G113" s="34">
        <v>24</v>
      </c>
      <c r="H113" s="174">
        <f t="shared" si="16"/>
        <v>1.6</v>
      </c>
      <c r="I113" s="34">
        <v>46</v>
      </c>
      <c r="J113" s="175">
        <f t="shared" si="17"/>
        <v>3.0666666666666669</v>
      </c>
      <c r="K113" s="34">
        <v>0</v>
      </c>
      <c r="L113" s="176">
        <f t="shared" si="18"/>
        <v>0</v>
      </c>
      <c r="M113" s="176"/>
      <c r="N113" s="34"/>
      <c r="O113" s="177">
        <f>SUM(D110:D113)</f>
        <v>60</v>
      </c>
      <c r="P113" s="177">
        <f>SUM(E110:E113)</f>
        <v>387</v>
      </c>
      <c r="Q113" s="174">
        <f>+P113/O113</f>
        <v>6.45</v>
      </c>
      <c r="R113" s="177">
        <f>SUM(G110:G113)</f>
        <v>87</v>
      </c>
      <c r="S113" s="174">
        <f>+R113/O113</f>
        <v>1.45</v>
      </c>
      <c r="T113" s="177">
        <f>SUM(I110:I113)</f>
        <v>126</v>
      </c>
      <c r="U113" s="175">
        <f>+T113/O113</f>
        <v>2.1</v>
      </c>
      <c r="V113" s="177">
        <f>SUM(K110:K113)</f>
        <v>7</v>
      </c>
      <c r="W113" s="178">
        <f>+V113/O113</f>
        <v>0.11666666666666667</v>
      </c>
      <c r="Y113" s="2" t="s">
        <v>18</v>
      </c>
    </row>
    <row r="114" spans="1:25" ht="14" thickBot="1" x14ac:dyDescent="0.2">
      <c r="A114" s="63" t="s">
        <v>68</v>
      </c>
      <c r="B114" s="44"/>
      <c r="C114" s="44" t="s">
        <v>313</v>
      </c>
      <c r="D114" s="98">
        <f>SUM(D67:D113)</f>
        <v>585</v>
      </c>
      <c r="E114" s="98">
        <f t="shared" ref="E114:K114" si="19">SUM(E67:E113)</f>
        <v>3019</v>
      </c>
      <c r="F114" s="589">
        <f t="shared" si="15"/>
        <v>5.160683760683761</v>
      </c>
      <c r="G114" s="98">
        <f t="shared" si="19"/>
        <v>1229</v>
      </c>
      <c r="H114" s="589">
        <f t="shared" si="16"/>
        <v>2.1008547008547009</v>
      </c>
      <c r="I114" s="98">
        <f t="shared" si="19"/>
        <v>674</v>
      </c>
      <c r="J114" s="589">
        <f t="shared" si="17"/>
        <v>1.152136752136752</v>
      </c>
      <c r="K114" s="98">
        <f t="shared" si="19"/>
        <v>44</v>
      </c>
      <c r="L114" s="829">
        <f t="shared" si="18"/>
        <v>7.521367521367521E-2</v>
      </c>
      <c r="M114" s="291"/>
      <c r="N114" s="96" t="s">
        <v>218</v>
      </c>
      <c r="O114" s="98">
        <f>SUM(O91:O113)</f>
        <v>345</v>
      </c>
      <c r="P114" s="98">
        <f>SUM(P91:P113)</f>
        <v>1751</v>
      </c>
      <c r="Q114" s="102">
        <f>+P114/O114</f>
        <v>5.0753623188405799</v>
      </c>
      <c r="R114" s="98">
        <f>SUM(R91:R113)</f>
        <v>755</v>
      </c>
      <c r="S114" s="102">
        <f>+R114/O114</f>
        <v>2.1884057971014492</v>
      </c>
      <c r="T114" s="98">
        <f>SUM(T91:T113)</f>
        <v>507</v>
      </c>
      <c r="U114" s="102">
        <f>+T114/O114</f>
        <v>1.4695652173913043</v>
      </c>
      <c r="V114" s="98">
        <f>SUM(V91:V113)</f>
        <v>36</v>
      </c>
      <c r="W114" s="293">
        <f>+V114/O114</f>
        <v>0.10434782608695652</v>
      </c>
      <c r="Y114" s="2" t="s">
        <v>18</v>
      </c>
    </row>
    <row r="115" spans="1:25" ht="14" thickBot="1" x14ac:dyDescent="0.2">
      <c r="A115" s="63" t="s">
        <v>455</v>
      </c>
      <c r="B115" s="44"/>
      <c r="C115" s="44"/>
      <c r="D115" s="98">
        <f>+D114</f>
        <v>585</v>
      </c>
      <c r="E115" s="331">
        <f>+E114+G114</f>
        <v>4248</v>
      </c>
      <c r="F115" s="371">
        <f t="shared" si="15"/>
        <v>7.2615384615384615</v>
      </c>
      <c r="G115" s="98"/>
      <c r="H115" s="97"/>
      <c r="I115" s="98"/>
      <c r="J115" s="97"/>
      <c r="K115" s="98"/>
      <c r="L115" s="291"/>
      <c r="M115" s="291"/>
      <c r="N115" s="96"/>
      <c r="O115" s="98"/>
      <c r="P115" s="98"/>
      <c r="Q115" s="102"/>
      <c r="R115" s="98"/>
      <c r="S115" s="102"/>
      <c r="T115" s="98"/>
      <c r="U115" s="102"/>
      <c r="V115" s="98"/>
      <c r="W115" s="293"/>
      <c r="Y115" s="2"/>
    </row>
    <row r="116" spans="1:25" ht="14" thickBot="1" x14ac:dyDescent="0.2">
      <c r="A116" s="63" t="s">
        <v>456</v>
      </c>
      <c r="B116" s="44"/>
      <c r="C116" s="44"/>
      <c r="D116" s="98">
        <f>+D114</f>
        <v>585</v>
      </c>
      <c r="E116" s="331">
        <f>+I114+K114</f>
        <v>718</v>
      </c>
      <c r="F116" s="371">
        <f t="shared" si="15"/>
        <v>1.2273504273504274</v>
      </c>
      <c r="G116" s="98"/>
      <c r="H116" s="97"/>
      <c r="I116" s="98"/>
      <c r="J116" s="97"/>
      <c r="K116" s="98"/>
      <c r="L116" s="291"/>
      <c r="M116" s="291"/>
      <c r="N116" s="96"/>
      <c r="O116" s="98"/>
      <c r="P116" s="98"/>
      <c r="Q116" s="102"/>
      <c r="R116" s="98"/>
      <c r="S116" s="102"/>
      <c r="T116" s="98"/>
      <c r="U116" s="102"/>
      <c r="V116" s="98"/>
      <c r="W116" s="293"/>
      <c r="Y116" s="2"/>
    </row>
    <row r="117" spans="1:25" x14ac:dyDescent="0.15">
      <c r="A117" s="13" t="s">
        <v>802</v>
      </c>
      <c r="B117" s="14"/>
      <c r="C117" s="14"/>
      <c r="D117" s="123">
        <f>+D116</f>
        <v>585</v>
      </c>
      <c r="E117" s="836">
        <f>+E115+E116</f>
        <v>4966</v>
      </c>
      <c r="F117" s="837">
        <f>+E117/D117</f>
        <v>8.4888888888888889</v>
      </c>
      <c r="G117" s="123"/>
      <c r="H117" s="92"/>
      <c r="I117" s="123"/>
      <c r="J117" s="92"/>
      <c r="K117" s="123"/>
      <c r="L117" s="838"/>
      <c r="M117" s="838"/>
      <c r="N117" s="13"/>
      <c r="O117" s="123"/>
      <c r="P117" s="123"/>
      <c r="Q117" s="289"/>
      <c r="R117" s="123"/>
      <c r="S117" s="289"/>
      <c r="T117" s="123"/>
      <c r="U117" s="289"/>
      <c r="V117" s="123"/>
      <c r="W117" s="839"/>
      <c r="Y117" s="2"/>
    </row>
    <row r="118" spans="1:25" ht="14" thickBot="1" x14ac:dyDescent="0.2">
      <c r="A118" s="319"/>
      <c r="B118" s="266"/>
      <c r="C118" s="266"/>
      <c r="D118" s="320"/>
      <c r="E118" s="320"/>
      <c r="F118" s="321"/>
      <c r="G118" s="320"/>
      <c r="H118" s="321"/>
      <c r="I118" s="320"/>
      <c r="J118" s="321"/>
      <c r="K118" s="320"/>
      <c r="L118" s="321"/>
      <c r="M118" s="321"/>
      <c r="N118" s="319"/>
      <c r="O118" s="320"/>
      <c r="P118" s="320"/>
      <c r="Q118" s="322"/>
      <c r="R118" s="320"/>
      <c r="S118" s="322"/>
      <c r="T118" s="320"/>
      <c r="U118" s="322" t="s">
        <v>18</v>
      </c>
      <c r="V118" s="320"/>
      <c r="W118" s="322"/>
    </row>
    <row r="119" spans="1:25" ht="14" thickBot="1" x14ac:dyDescent="0.2">
      <c r="A119" s="53" t="s">
        <v>12</v>
      </c>
      <c r="B119" s="153"/>
      <c r="C119" s="154"/>
      <c r="D119" s="154" t="s">
        <v>18</v>
      </c>
      <c r="E119" s="154"/>
      <c r="F119" s="155" t="s">
        <v>169</v>
      </c>
      <c r="G119" s="155" t="s">
        <v>170</v>
      </c>
      <c r="H119" s="155" t="s">
        <v>220</v>
      </c>
      <c r="I119" s="155" t="s">
        <v>184</v>
      </c>
      <c r="J119" s="155"/>
      <c r="K119" s="50"/>
      <c r="L119" s="83"/>
      <c r="M119" s="50"/>
      <c r="N119" s="50"/>
      <c r="O119" s="50"/>
      <c r="P119" s="50"/>
      <c r="Q119" s="50"/>
      <c r="R119" s="50"/>
      <c r="S119" s="263" t="s">
        <v>18</v>
      </c>
      <c r="T119" s="50"/>
      <c r="U119" s="50"/>
      <c r="V119" s="50"/>
      <c r="W119" s="83"/>
    </row>
    <row r="120" spans="1:25" x14ac:dyDescent="0.15">
      <c r="A120" s="74" t="s">
        <v>641</v>
      </c>
      <c r="B120" s="163" t="s">
        <v>213</v>
      </c>
      <c r="C120" s="164"/>
      <c r="D120" s="21"/>
      <c r="E120" s="19"/>
      <c r="F120" s="14" t="s">
        <v>412</v>
      </c>
      <c r="G120" s="23" t="s">
        <v>415</v>
      </c>
      <c r="H120" s="26" t="s">
        <v>172</v>
      </c>
      <c r="I120" s="19" t="s">
        <v>185</v>
      </c>
      <c r="J120" s="19"/>
      <c r="K120" s="19" t="s">
        <v>18</v>
      </c>
      <c r="L120" s="157" t="s">
        <v>18</v>
      </c>
      <c r="M120" s="19"/>
      <c r="N120" s="163" t="s">
        <v>213</v>
      </c>
      <c r="O120" s="164"/>
      <c r="P120" s="14" t="s">
        <v>18</v>
      </c>
      <c r="Q120" s="14"/>
      <c r="R120" s="14"/>
      <c r="S120" s="14"/>
      <c r="T120" s="14"/>
      <c r="U120" s="14"/>
      <c r="V120" s="14"/>
      <c r="W120" s="136"/>
    </row>
    <row r="121" spans="1:25" ht="14" thickBot="1" x14ac:dyDescent="0.2">
      <c r="A121" s="95"/>
      <c r="B121" s="158" t="s">
        <v>215</v>
      </c>
      <c r="C121" s="165"/>
      <c r="D121" s="160"/>
      <c r="E121" s="160"/>
      <c r="F121" s="160"/>
      <c r="G121" s="161" t="s">
        <v>414</v>
      </c>
      <c r="H121" s="161" t="s">
        <v>413</v>
      </c>
      <c r="I121" s="160" t="s">
        <v>18</v>
      </c>
      <c r="J121" s="160"/>
      <c r="K121" s="160"/>
      <c r="L121" s="162"/>
      <c r="M121" s="160"/>
      <c r="N121" s="158" t="s">
        <v>215</v>
      </c>
      <c r="O121" s="165"/>
      <c r="P121" s="13"/>
      <c r="Q121" s="14"/>
      <c r="R121" s="14"/>
      <c r="S121" s="14"/>
      <c r="T121" s="14"/>
      <c r="U121" s="14"/>
      <c r="V121" s="14"/>
      <c r="W121" s="136"/>
    </row>
    <row r="122" spans="1:25" x14ac:dyDescent="0.15">
      <c r="A122" s="149" t="s">
        <v>216</v>
      </c>
      <c r="B122" s="48" t="s">
        <v>188</v>
      </c>
      <c r="C122" s="32" t="s">
        <v>188</v>
      </c>
      <c r="D122" s="32" t="s">
        <v>206</v>
      </c>
      <c r="E122" s="32" t="s">
        <v>197</v>
      </c>
      <c r="F122" s="32" t="s">
        <v>209</v>
      </c>
      <c r="G122" s="32" t="s">
        <v>197</v>
      </c>
      <c r="H122" s="32" t="s">
        <v>209</v>
      </c>
      <c r="I122" s="32" t="s">
        <v>201</v>
      </c>
      <c r="J122" s="32" t="s">
        <v>209</v>
      </c>
      <c r="K122" s="32" t="s">
        <v>203</v>
      </c>
      <c r="L122" s="32" t="s">
        <v>209</v>
      </c>
      <c r="M122" s="32"/>
      <c r="N122" s="32"/>
      <c r="O122" s="32" t="s">
        <v>206</v>
      </c>
      <c r="P122" s="32" t="s">
        <v>197</v>
      </c>
      <c r="Q122" s="32" t="s">
        <v>209</v>
      </c>
      <c r="R122" s="32" t="s">
        <v>197</v>
      </c>
      <c r="S122" s="32" t="s">
        <v>209</v>
      </c>
      <c r="T122" s="32" t="s">
        <v>201</v>
      </c>
      <c r="U122" s="32" t="s">
        <v>209</v>
      </c>
      <c r="V122" s="32" t="s">
        <v>203</v>
      </c>
      <c r="W122" s="151" t="s">
        <v>209</v>
      </c>
    </row>
    <row r="123" spans="1:25" ht="14" thickBot="1" x14ac:dyDescent="0.2">
      <c r="A123" s="150" t="s">
        <v>353</v>
      </c>
      <c r="B123" s="89" t="s">
        <v>207</v>
      </c>
      <c r="C123" s="33" t="s">
        <v>208</v>
      </c>
      <c r="D123" s="33" t="s">
        <v>205</v>
      </c>
      <c r="E123" s="33" t="s">
        <v>198</v>
      </c>
      <c r="F123" s="33" t="s">
        <v>210</v>
      </c>
      <c r="G123" s="33" t="s">
        <v>199</v>
      </c>
      <c r="H123" s="33" t="s">
        <v>210</v>
      </c>
      <c r="I123" s="33" t="s">
        <v>200</v>
      </c>
      <c r="J123" s="33" t="s">
        <v>210</v>
      </c>
      <c r="K123" s="33" t="s">
        <v>204</v>
      </c>
      <c r="L123" s="33" t="s">
        <v>210</v>
      </c>
      <c r="M123" s="33" t="s">
        <v>417</v>
      </c>
      <c r="N123" s="33"/>
      <c r="O123" s="33" t="s">
        <v>205</v>
      </c>
      <c r="P123" s="33" t="s">
        <v>198</v>
      </c>
      <c r="Q123" s="33" t="s">
        <v>210</v>
      </c>
      <c r="R123" s="33" t="s">
        <v>199</v>
      </c>
      <c r="S123" s="33" t="s">
        <v>210</v>
      </c>
      <c r="T123" s="33" t="s">
        <v>200</v>
      </c>
      <c r="U123" s="33" t="s">
        <v>210</v>
      </c>
      <c r="V123" s="33" t="s">
        <v>204</v>
      </c>
      <c r="W123" s="152" t="s">
        <v>210</v>
      </c>
    </row>
    <row r="124" spans="1:25" x14ac:dyDescent="0.15">
      <c r="A124" s="107" t="s">
        <v>416</v>
      </c>
      <c r="B124" s="251">
        <v>0.46319444444444446</v>
      </c>
      <c r="C124" s="251">
        <v>0.47013888888888888</v>
      </c>
      <c r="D124" s="14">
        <v>10</v>
      </c>
      <c r="E124" s="14">
        <v>16</v>
      </c>
      <c r="F124" s="38">
        <f t="shared" ref="F124:F167" si="20">+E124/D124</f>
        <v>1.6</v>
      </c>
      <c r="G124" s="14">
        <v>6</v>
      </c>
      <c r="H124" s="38">
        <f t="shared" ref="H124:H165" si="21">+G124/D124</f>
        <v>0.6</v>
      </c>
      <c r="I124" s="14">
        <v>0</v>
      </c>
      <c r="J124" s="113">
        <f t="shared" ref="J124:J165" si="22">+I124/D124</f>
        <v>0</v>
      </c>
      <c r="K124" s="14">
        <v>2</v>
      </c>
      <c r="L124" s="25">
        <f t="shared" ref="L124:L165" si="23">+K124/D124</f>
        <v>0.2</v>
      </c>
      <c r="M124" s="298"/>
      <c r="N124" s="13"/>
      <c r="O124" s="13"/>
      <c r="P124" s="13"/>
      <c r="Q124" s="85"/>
      <c r="R124" s="13"/>
      <c r="S124" s="85"/>
      <c r="T124" s="13"/>
      <c r="U124" s="85"/>
      <c r="V124" s="13"/>
      <c r="W124" s="311"/>
      <c r="X124" s="2"/>
    </row>
    <row r="125" spans="1:25" x14ac:dyDescent="0.15">
      <c r="A125" s="107"/>
      <c r="B125" s="251">
        <v>0.48819444444444443</v>
      </c>
      <c r="C125" s="251">
        <v>0.49652777777777773</v>
      </c>
      <c r="D125" s="64">
        <v>12</v>
      </c>
      <c r="E125" s="64">
        <v>10</v>
      </c>
      <c r="F125" s="38">
        <f t="shared" si="20"/>
        <v>0.83333333333333337</v>
      </c>
      <c r="G125" s="64">
        <v>7</v>
      </c>
      <c r="H125" s="38">
        <f t="shared" si="21"/>
        <v>0.58333333333333337</v>
      </c>
      <c r="I125" s="239">
        <v>4</v>
      </c>
      <c r="J125" s="113">
        <f t="shared" si="22"/>
        <v>0.33333333333333331</v>
      </c>
      <c r="K125" s="64">
        <v>0</v>
      </c>
      <c r="L125" s="25">
        <f t="shared" si="23"/>
        <v>0</v>
      </c>
      <c r="M125" s="113" t="s">
        <v>424</v>
      </c>
      <c r="N125" s="13"/>
      <c r="O125" s="13"/>
      <c r="P125" s="13"/>
      <c r="Q125" s="85"/>
      <c r="R125" s="13"/>
      <c r="S125" s="85"/>
      <c r="T125" s="13"/>
      <c r="U125" s="85"/>
      <c r="V125" s="13"/>
      <c r="W125" s="311"/>
      <c r="X125" s="2"/>
    </row>
    <row r="126" spans="1:25" x14ac:dyDescent="0.15">
      <c r="A126" s="107"/>
      <c r="B126" s="251">
        <v>0.51458333333333328</v>
      </c>
      <c r="C126" s="251">
        <v>0.5229166666666667</v>
      </c>
      <c r="D126" s="64">
        <v>12</v>
      </c>
      <c r="E126" s="64">
        <v>15</v>
      </c>
      <c r="F126" s="38">
        <f t="shared" si="20"/>
        <v>1.25</v>
      </c>
      <c r="G126" s="64">
        <v>5</v>
      </c>
      <c r="H126" s="38">
        <f t="shared" si="21"/>
        <v>0.41666666666666669</v>
      </c>
      <c r="I126" s="239">
        <v>5</v>
      </c>
      <c r="J126" s="113">
        <f t="shared" si="22"/>
        <v>0.41666666666666669</v>
      </c>
      <c r="K126" s="64">
        <v>0</v>
      </c>
      <c r="L126" s="25">
        <f t="shared" si="23"/>
        <v>0</v>
      </c>
      <c r="M126" s="113" t="s">
        <v>425</v>
      </c>
      <c r="N126" s="13"/>
      <c r="O126" s="13"/>
      <c r="P126" s="13"/>
      <c r="Q126" s="85"/>
      <c r="R126" s="13"/>
      <c r="S126" s="85"/>
      <c r="T126" s="13"/>
      <c r="U126" s="85"/>
      <c r="V126" s="13"/>
      <c r="W126" s="311"/>
      <c r="X126" s="2"/>
    </row>
    <row r="127" spans="1:25" x14ac:dyDescent="0.15">
      <c r="A127" s="107"/>
      <c r="B127" s="251">
        <v>0.54097222222222219</v>
      </c>
      <c r="C127" s="251">
        <v>0.5493055555555556</v>
      </c>
      <c r="D127" s="239">
        <v>12</v>
      </c>
      <c r="E127" s="239">
        <v>13</v>
      </c>
      <c r="F127" s="38">
        <f t="shared" si="20"/>
        <v>1.0833333333333333</v>
      </c>
      <c r="G127" s="239">
        <v>5</v>
      </c>
      <c r="H127" s="38">
        <f t="shared" si="21"/>
        <v>0.41666666666666669</v>
      </c>
      <c r="I127" s="239">
        <v>3</v>
      </c>
      <c r="J127" s="113">
        <f t="shared" si="22"/>
        <v>0.25</v>
      </c>
      <c r="K127" s="239">
        <v>1</v>
      </c>
      <c r="L127" s="25">
        <f t="shared" si="23"/>
        <v>8.3333333333333329E-2</v>
      </c>
      <c r="M127" s="299" t="s">
        <v>427</v>
      </c>
      <c r="N127" s="13"/>
      <c r="O127" s="64">
        <f>SUM(D124:D127)</f>
        <v>46</v>
      </c>
      <c r="P127" s="64">
        <f>SUM(E124:E127)</f>
        <v>54</v>
      </c>
      <c r="Q127" s="113">
        <f>+P127/O127</f>
        <v>1.173913043478261</v>
      </c>
      <c r="R127" s="64">
        <f>SUM(G124:G127)</f>
        <v>23</v>
      </c>
      <c r="S127" s="113">
        <f>+R127/O127</f>
        <v>0.5</v>
      </c>
      <c r="T127" s="64">
        <f>SUM(I124:I127)</f>
        <v>12</v>
      </c>
      <c r="U127" s="113">
        <f>+T127/O127</f>
        <v>0.2608695652173913</v>
      </c>
      <c r="V127" s="64">
        <f>SUM(K124:K127)</f>
        <v>3</v>
      </c>
      <c r="W127" s="312">
        <f>+V127/O127</f>
        <v>6.5217391304347824E-2</v>
      </c>
      <c r="X127" s="2"/>
    </row>
    <row r="128" spans="1:25" x14ac:dyDescent="0.15">
      <c r="A128" s="107" t="s">
        <v>423</v>
      </c>
      <c r="B128" s="251">
        <v>0.47847222222222219</v>
      </c>
      <c r="C128" s="251">
        <v>0.48680555555555555</v>
      </c>
      <c r="D128" s="64">
        <v>12</v>
      </c>
      <c r="E128" s="64">
        <v>8</v>
      </c>
      <c r="F128" s="38">
        <f t="shared" si="20"/>
        <v>0.66666666666666663</v>
      </c>
      <c r="G128" s="64">
        <v>3</v>
      </c>
      <c r="H128" s="38">
        <f>+G128/D128</f>
        <v>0.25</v>
      </c>
      <c r="I128" s="239">
        <v>8</v>
      </c>
      <c r="J128" s="113">
        <f>+I128/D128</f>
        <v>0.66666666666666663</v>
      </c>
      <c r="K128" s="64">
        <v>0</v>
      </c>
      <c r="L128" s="25">
        <f>+K128/D128</f>
        <v>0</v>
      </c>
      <c r="M128" s="299" t="s">
        <v>427</v>
      </c>
      <c r="N128" s="13"/>
      <c r="O128" s="13"/>
      <c r="P128" s="13"/>
      <c r="Q128" s="85"/>
      <c r="R128" s="13"/>
      <c r="S128" s="85"/>
      <c r="T128" s="13"/>
      <c r="U128" s="85"/>
      <c r="V128" s="13"/>
      <c r="W128" s="311"/>
      <c r="X128" s="2"/>
    </row>
    <row r="129" spans="1:26" x14ac:dyDescent="0.15">
      <c r="A129" s="107"/>
      <c r="B129" s="251">
        <v>0.50486111111111109</v>
      </c>
      <c r="C129" s="251">
        <v>0.5131944444444444</v>
      </c>
      <c r="D129" s="239">
        <v>12</v>
      </c>
      <c r="E129" s="239">
        <v>13</v>
      </c>
      <c r="F129" s="38">
        <f t="shared" si="20"/>
        <v>1.0833333333333333</v>
      </c>
      <c r="G129" s="64">
        <v>1</v>
      </c>
      <c r="H129" s="38">
        <f t="shared" si="21"/>
        <v>8.3333333333333329E-2</v>
      </c>
      <c r="I129" s="239">
        <v>2</v>
      </c>
      <c r="J129" s="113">
        <f t="shared" si="22"/>
        <v>0.16666666666666666</v>
      </c>
      <c r="K129" s="239">
        <v>0</v>
      </c>
      <c r="L129" s="25">
        <f t="shared" si="23"/>
        <v>0</v>
      </c>
      <c r="M129" s="299" t="s">
        <v>424</v>
      </c>
      <c r="N129" s="13"/>
      <c r="O129" s="13"/>
      <c r="P129" s="13"/>
      <c r="Q129" s="85"/>
      <c r="R129" s="13"/>
      <c r="S129" s="85"/>
      <c r="T129" s="13"/>
      <c r="U129" s="85"/>
      <c r="V129" s="13"/>
      <c r="W129" s="311"/>
      <c r="X129" s="2"/>
    </row>
    <row r="130" spans="1:26" x14ac:dyDescent="0.15">
      <c r="A130" s="107"/>
      <c r="B130" s="251">
        <v>0.53125</v>
      </c>
      <c r="C130" s="251">
        <v>0.5395833333333333</v>
      </c>
      <c r="D130" s="239">
        <v>12</v>
      </c>
      <c r="E130" s="239">
        <v>12</v>
      </c>
      <c r="F130" s="38">
        <f t="shared" si="20"/>
        <v>1</v>
      </c>
      <c r="G130" s="239">
        <v>2</v>
      </c>
      <c r="H130" s="38">
        <f t="shared" si="21"/>
        <v>0.16666666666666666</v>
      </c>
      <c r="I130" s="239">
        <v>3</v>
      </c>
      <c r="J130" s="113">
        <f t="shared" si="22"/>
        <v>0.25</v>
      </c>
      <c r="K130" s="239">
        <v>0</v>
      </c>
      <c r="L130" s="25">
        <f t="shared" si="23"/>
        <v>0</v>
      </c>
      <c r="M130" s="299" t="s">
        <v>424</v>
      </c>
      <c r="N130" s="13"/>
      <c r="O130" s="13"/>
      <c r="P130" s="13"/>
      <c r="Q130" s="85"/>
      <c r="R130" s="13"/>
      <c r="S130" s="85"/>
      <c r="T130" s="13"/>
      <c r="U130" s="85"/>
      <c r="V130" s="13"/>
      <c r="W130" s="311"/>
      <c r="X130" s="2"/>
    </row>
    <row r="131" spans="1:26" x14ac:dyDescent="0.15">
      <c r="A131" s="107"/>
      <c r="B131" s="251">
        <v>0.55972222222222223</v>
      </c>
      <c r="C131" s="251">
        <v>0.56805555555555554</v>
      </c>
      <c r="D131" s="239">
        <v>12</v>
      </c>
      <c r="E131" s="239">
        <v>5</v>
      </c>
      <c r="F131" s="38">
        <f t="shared" si="20"/>
        <v>0.41666666666666669</v>
      </c>
      <c r="G131" s="239">
        <v>0</v>
      </c>
      <c r="H131" s="38">
        <f t="shared" si="21"/>
        <v>0</v>
      </c>
      <c r="I131" s="239">
        <v>0</v>
      </c>
      <c r="J131" s="113">
        <f t="shared" si="22"/>
        <v>0</v>
      </c>
      <c r="K131" s="239">
        <v>0</v>
      </c>
      <c r="L131" s="25">
        <f t="shared" si="23"/>
        <v>0</v>
      </c>
      <c r="M131" s="299"/>
      <c r="N131" s="13" t="s">
        <v>18</v>
      </c>
      <c r="O131" s="64">
        <f>SUM(D128:D131)</f>
        <v>48</v>
      </c>
      <c r="P131" s="64">
        <f>SUM(E128:E131)</f>
        <v>38</v>
      </c>
      <c r="Q131" s="113">
        <f>+P131/O131</f>
        <v>0.79166666666666663</v>
      </c>
      <c r="R131" s="64">
        <f>SUM(G128:G131)</f>
        <v>6</v>
      </c>
      <c r="S131" s="113">
        <f>+R131/O131</f>
        <v>0.125</v>
      </c>
      <c r="T131" s="64">
        <f>SUM(I128:I131)</f>
        <v>13</v>
      </c>
      <c r="U131" s="113">
        <f>+T131/O131</f>
        <v>0.27083333333333331</v>
      </c>
      <c r="V131" s="64">
        <f>SUM(K128:K131)</f>
        <v>0</v>
      </c>
      <c r="W131" s="312">
        <f>+V131/O131</f>
        <v>0</v>
      </c>
      <c r="X131" s="2"/>
    </row>
    <row r="132" spans="1:26" x14ac:dyDescent="0.15">
      <c r="A132" s="107" t="s">
        <v>419</v>
      </c>
      <c r="B132" s="251">
        <v>0.47222222222222227</v>
      </c>
      <c r="C132" s="251">
        <v>0.48055555555555557</v>
      </c>
      <c r="D132" s="64">
        <v>12</v>
      </c>
      <c r="E132" s="64">
        <v>8</v>
      </c>
      <c r="F132" s="38">
        <f t="shared" si="20"/>
        <v>0.66666666666666663</v>
      </c>
      <c r="G132" s="64">
        <v>3</v>
      </c>
      <c r="H132" s="38">
        <f t="shared" si="21"/>
        <v>0.25</v>
      </c>
      <c r="I132" s="239">
        <v>4</v>
      </c>
      <c r="J132" s="113">
        <f t="shared" si="22"/>
        <v>0.33333333333333331</v>
      </c>
      <c r="K132" s="64">
        <v>0</v>
      </c>
      <c r="L132" s="25">
        <f t="shared" si="23"/>
        <v>0</v>
      </c>
      <c r="M132" s="299" t="s">
        <v>418</v>
      </c>
      <c r="N132" s="13"/>
      <c r="O132" s="13" t="s">
        <v>18</v>
      </c>
      <c r="P132" s="13"/>
      <c r="Q132" s="85" t="s">
        <v>18</v>
      </c>
      <c r="R132" s="13"/>
      <c r="S132" s="85"/>
      <c r="T132" s="13"/>
      <c r="U132" s="85"/>
      <c r="V132" s="13"/>
      <c r="W132" s="311"/>
      <c r="X132" s="2"/>
    </row>
    <row r="133" spans="1:26" x14ac:dyDescent="0.15">
      <c r="A133" s="107"/>
      <c r="B133" s="251">
        <v>0.49861111111111112</v>
      </c>
      <c r="C133" s="251">
        <v>0.50555555555555554</v>
      </c>
      <c r="D133" s="239">
        <v>10</v>
      </c>
      <c r="E133" s="239">
        <v>15</v>
      </c>
      <c r="F133" s="38">
        <f t="shared" si="20"/>
        <v>1.5</v>
      </c>
      <c r="G133" s="239">
        <v>6</v>
      </c>
      <c r="H133" s="38">
        <f t="shared" si="21"/>
        <v>0.6</v>
      </c>
      <c r="I133" s="239">
        <v>4</v>
      </c>
      <c r="J133" s="113">
        <f t="shared" si="22"/>
        <v>0.4</v>
      </c>
      <c r="K133" s="239">
        <v>0</v>
      </c>
      <c r="L133" s="25">
        <f t="shared" si="23"/>
        <v>0</v>
      </c>
      <c r="M133" s="299" t="s">
        <v>427</v>
      </c>
      <c r="N133" s="13" t="s">
        <v>18</v>
      </c>
      <c r="O133" s="13"/>
      <c r="P133" s="13"/>
      <c r="Q133" s="85"/>
      <c r="R133" s="13"/>
      <c r="S133" s="85"/>
      <c r="T133" s="13" t="s">
        <v>18</v>
      </c>
      <c r="U133" s="85"/>
      <c r="V133" s="13"/>
      <c r="W133" s="311"/>
      <c r="X133" s="2"/>
      <c r="Z133" s="2" t="s">
        <v>18</v>
      </c>
    </row>
    <row r="134" spans="1:26" x14ac:dyDescent="0.15">
      <c r="A134" s="107"/>
      <c r="B134" s="251">
        <v>0.52777777777777779</v>
      </c>
      <c r="C134" s="251">
        <v>0.53611111111111109</v>
      </c>
      <c r="D134" s="239">
        <v>12</v>
      </c>
      <c r="E134" s="239">
        <v>6</v>
      </c>
      <c r="F134" s="38">
        <f t="shared" si="20"/>
        <v>0.5</v>
      </c>
      <c r="G134" s="239">
        <v>1</v>
      </c>
      <c r="H134" s="38">
        <f t="shared" si="21"/>
        <v>8.3333333333333329E-2</v>
      </c>
      <c r="I134" s="239">
        <v>4</v>
      </c>
      <c r="J134" s="113">
        <f t="shared" si="22"/>
        <v>0.33333333333333331</v>
      </c>
      <c r="K134" s="239">
        <v>0</v>
      </c>
      <c r="L134" s="25">
        <f t="shared" si="23"/>
        <v>0</v>
      </c>
      <c r="M134" s="299" t="s">
        <v>424</v>
      </c>
      <c r="N134" s="13"/>
      <c r="O134" s="13"/>
      <c r="P134" s="13"/>
      <c r="Q134" s="85"/>
      <c r="R134" s="13"/>
      <c r="S134" s="85" t="s">
        <v>18</v>
      </c>
      <c r="T134" s="13"/>
      <c r="U134" s="85"/>
      <c r="V134" s="13"/>
      <c r="W134" s="311"/>
      <c r="X134" s="2"/>
    </row>
    <row r="135" spans="1:26" x14ac:dyDescent="0.15">
      <c r="A135" s="107"/>
      <c r="B135" s="251">
        <v>0.55138888888888882</v>
      </c>
      <c r="C135" s="251">
        <v>0.55833333333333335</v>
      </c>
      <c r="D135" s="64">
        <v>10</v>
      </c>
      <c r="E135" s="64">
        <v>7</v>
      </c>
      <c r="F135" s="113">
        <f t="shared" si="20"/>
        <v>0.7</v>
      </c>
      <c r="G135" s="64">
        <v>2</v>
      </c>
      <c r="H135" s="113">
        <f t="shared" si="21"/>
        <v>0.2</v>
      </c>
      <c r="I135" s="64">
        <v>1</v>
      </c>
      <c r="J135" s="113">
        <f t="shared" si="22"/>
        <v>0.1</v>
      </c>
      <c r="K135" s="64">
        <v>0</v>
      </c>
      <c r="L135" s="25">
        <f t="shared" si="23"/>
        <v>0</v>
      </c>
      <c r="M135" s="299" t="s">
        <v>421</v>
      </c>
      <c r="N135" s="13"/>
      <c r="O135" s="64">
        <f>SUM(D132:D135)</f>
        <v>44</v>
      </c>
      <c r="P135" s="64">
        <f>SUM(E132:E135)</f>
        <v>36</v>
      </c>
      <c r="Q135" s="113">
        <f>+P135/O135</f>
        <v>0.81818181818181823</v>
      </c>
      <c r="R135" s="64">
        <f>SUM(G132:G135)</f>
        <v>12</v>
      </c>
      <c r="S135" s="113">
        <f>+R135/O135</f>
        <v>0.27272727272727271</v>
      </c>
      <c r="T135" s="64">
        <f>SUM(I132:I135)</f>
        <v>13</v>
      </c>
      <c r="U135" s="113">
        <f>+T135/O135</f>
        <v>0.29545454545454547</v>
      </c>
      <c r="V135" s="64">
        <f>SUM(K132:K135)</f>
        <v>0</v>
      </c>
      <c r="W135" s="312">
        <f>+V135/O135</f>
        <v>0</v>
      </c>
      <c r="X135" s="2"/>
    </row>
    <row r="136" spans="1:26" x14ac:dyDescent="0.15">
      <c r="A136" s="107" t="s">
        <v>422</v>
      </c>
      <c r="B136" s="251">
        <v>0.4680555555555555</v>
      </c>
      <c r="C136" s="251">
        <v>0.47500000000000003</v>
      </c>
      <c r="D136" s="64">
        <v>10</v>
      </c>
      <c r="E136" s="64">
        <v>8</v>
      </c>
      <c r="F136" s="38">
        <f t="shared" si="20"/>
        <v>0.8</v>
      </c>
      <c r="G136" s="64">
        <v>5</v>
      </c>
      <c r="H136" s="38">
        <f t="shared" si="21"/>
        <v>0.5</v>
      </c>
      <c r="I136" s="239">
        <v>2</v>
      </c>
      <c r="J136" s="113">
        <f t="shared" si="22"/>
        <v>0.2</v>
      </c>
      <c r="K136" s="64">
        <v>0</v>
      </c>
      <c r="L136" s="25">
        <f t="shared" si="23"/>
        <v>0</v>
      </c>
      <c r="M136" s="299" t="s">
        <v>424</v>
      </c>
      <c r="N136" s="13"/>
      <c r="O136" s="13" t="s">
        <v>18</v>
      </c>
      <c r="P136" s="13"/>
      <c r="Q136" s="85"/>
      <c r="R136" s="13"/>
      <c r="S136" s="85"/>
      <c r="T136" s="13"/>
      <c r="U136" s="85"/>
      <c r="V136" s="13"/>
      <c r="W136" s="311"/>
      <c r="X136" s="2"/>
      <c r="Z136" s="2" t="s">
        <v>18</v>
      </c>
    </row>
    <row r="137" spans="1:26" x14ac:dyDescent="0.15">
      <c r="A137" s="107"/>
      <c r="B137" s="251">
        <v>0.49444444444444446</v>
      </c>
      <c r="C137" s="251">
        <v>0.50277777777777777</v>
      </c>
      <c r="D137" s="64">
        <v>12</v>
      </c>
      <c r="E137" s="64">
        <v>11</v>
      </c>
      <c r="F137" s="38">
        <f t="shared" si="20"/>
        <v>0.91666666666666663</v>
      </c>
      <c r="G137" s="64">
        <v>6</v>
      </c>
      <c r="H137" s="38">
        <f t="shared" si="21"/>
        <v>0.5</v>
      </c>
      <c r="I137" s="239">
        <v>6</v>
      </c>
      <c r="J137" s="113">
        <f t="shared" si="22"/>
        <v>0.5</v>
      </c>
      <c r="K137" s="64">
        <v>0</v>
      </c>
      <c r="L137" s="25">
        <f t="shared" si="23"/>
        <v>0</v>
      </c>
      <c r="M137" s="299" t="s">
        <v>418</v>
      </c>
      <c r="N137" s="13" t="s">
        <v>18</v>
      </c>
      <c r="O137" s="13" t="s">
        <v>18</v>
      </c>
      <c r="P137" s="13" t="s">
        <v>18</v>
      </c>
      <c r="Q137" s="85" t="s">
        <v>18</v>
      </c>
      <c r="R137" s="13"/>
      <c r="S137" s="85" t="s">
        <v>18</v>
      </c>
      <c r="T137" s="13"/>
      <c r="U137" s="85"/>
      <c r="V137" s="13"/>
      <c r="W137" s="311"/>
      <c r="X137" s="2"/>
      <c r="Z137" s="2" t="s">
        <v>18</v>
      </c>
    </row>
    <row r="138" spans="1:26" x14ac:dyDescent="0.15">
      <c r="A138" s="107"/>
      <c r="B138" s="251">
        <v>0.52083333333333337</v>
      </c>
      <c r="C138" s="251">
        <v>0.52916666666666667</v>
      </c>
      <c r="D138" s="64">
        <v>12</v>
      </c>
      <c r="E138" s="64">
        <v>19</v>
      </c>
      <c r="F138" s="113">
        <f t="shared" si="20"/>
        <v>1.5833333333333333</v>
      </c>
      <c r="G138" s="64">
        <v>6</v>
      </c>
      <c r="H138" s="113">
        <f t="shared" si="21"/>
        <v>0.5</v>
      </c>
      <c r="I138" s="64">
        <v>2</v>
      </c>
      <c r="J138" s="113">
        <f t="shared" si="22"/>
        <v>0.16666666666666666</v>
      </c>
      <c r="K138" s="64">
        <v>0</v>
      </c>
      <c r="L138" s="299">
        <f t="shared" si="23"/>
        <v>0</v>
      </c>
      <c r="M138" s="299" t="s">
        <v>424</v>
      </c>
      <c r="N138" s="13" t="s">
        <v>18</v>
      </c>
      <c r="O138" s="13" t="s">
        <v>18</v>
      </c>
      <c r="P138" s="13"/>
      <c r="Q138" s="85"/>
      <c r="R138" s="13" t="s">
        <v>18</v>
      </c>
      <c r="S138" s="85" t="s">
        <v>18</v>
      </c>
      <c r="T138" s="13"/>
      <c r="U138" s="85"/>
      <c r="V138" s="13"/>
      <c r="W138" s="311"/>
      <c r="X138" s="2"/>
    </row>
    <row r="139" spans="1:26" x14ac:dyDescent="0.15">
      <c r="A139" s="107"/>
      <c r="B139" s="251">
        <v>0.54861111111111105</v>
      </c>
      <c r="C139" s="251">
        <v>0.55694444444444446</v>
      </c>
      <c r="D139" s="64">
        <v>12</v>
      </c>
      <c r="E139" s="64">
        <v>10</v>
      </c>
      <c r="F139" s="113">
        <f t="shared" si="20"/>
        <v>0.83333333333333337</v>
      </c>
      <c r="G139" s="64">
        <v>2</v>
      </c>
      <c r="H139" s="113">
        <f t="shared" si="21"/>
        <v>0.16666666666666666</v>
      </c>
      <c r="I139" s="64">
        <v>1</v>
      </c>
      <c r="J139" s="113">
        <f t="shared" si="22"/>
        <v>8.3333333333333329E-2</v>
      </c>
      <c r="K139" s="64">
        <v>0</v>
      </c>
      <c r="L139" s="299">
        <f t="shared" si="23"/>
        <v>0</v>
      </c>
      <c r="M139" s="299" t="s">
        <v>421</v>
      </c>
      <c r="N139" s="13"/>
      <c r="O139" s="64">
        <f>SUM(D136:D139)</f>
        <v>46</v>
      </c>
      <c r="P139" s="64">
        <f>SUM(E136:E139)</f>
        <v>48</v>
      </c>
      <c r="Q139" s="113">
        <f>+P139/O139</f>
        <v>1.0434782608695652</v>
      </c>
      <c r="R139" s="64">
        <f>SUM(G136:G139)</f>
        <v>19</v>
      </c>
      <c r="S139" s="113">
        <f>+R139/O139</f>
        <v>0.41304347826086957</v>
      </c>
      <c r="T139" s="64">
        <f>SUM(I136:I139)</f>
        <v>11</v>
      </c>
      <c r="U139" s="113">
        <f>+T139/O139</f>
        <v>0.2391304347826087</v>
      </c>
      <c r="V139" s="64">
        <f>SUM(K136:K139)</f>
        <v>0</v>
      </c>
      <c r="W139" s="312">
        <f>+V139/O139</f>
        <v>0</v>
      </c>
      <c r="X139" s="2"/>
    </row>
    <row r="140" spans="1:26" x14ac:dyDescent="0.15">
      <c r="A140" s="107" t="s">
        <v>420</v>
      </c>
      <c r="B140" s="251">
        <v>0.48402777777777778</v>
      </c>
      <c r="C140" s="251">
        <v>0.49236111111111108</v>
      </c>
      <c r="D140" s="64">
        <v>12</v>
      </c>
      <c r="E140" s="64">
        <v>10</v>
      </c>
      <c r="F140" s="38">
        <f t="shared" si="20"/>
        <v>0.83333333333333337</v>
      </c>
      <c r="G140" s="64">
        <v>1</v>
      </c>
      <c r="H140" s="38">
        <f t="shared" si="21"/>
        <v>8.3333333333333329E-2</v>
      </c>
      <c r="I140" s="239">
        <v>2</v>
      </c>
      <c r="J140" s="113">
        <f t="shared" si="22"/>
        <v>0.16666666666666666</v>
      </c>
      <c r="K140" s="64">
        <v>0</v>
      </c>
      <c r="L140" s="25">
        <f t="shared" si="23"/>
        <v>0</v>
      </c>
      <c r="M140" s="299" t="s">
        <v>421</v>
      </c>
      <c r="N140" s="13" t="s">
        <v>18</v>
      </c>
      <c r="O140" s="13" t="s">
        <v>18</v>
      </c>
      <c r="P140" s="13" t="s">
        <v>18</v>
      </c>
      <c r="Q140" s="85"/>
      <c r="R140" s="13"/>
      <c r="S140" s="85"/>
      <c r="T140" s="13"/>
      <c r="U140" s="85"/>
      <c r="V140" s="13"/>
      <c r="W140" s="311"/>
      <c r="X140" s="2"/>
    </row>
    <row r="141" spans="1:26" x14ac:dyDescent="0.15">
      <c r="A141" s="107"/>
      <c r="B141" s="251">
        <v>0.53888888888888886</v>
      </c>
      <c r="C141" s="251">
        <v>0.54722222222222217</v>
      </c>
      <c r="D141" s="239">
        <v>12</v>
      </c>
      <c r="E141" s="239">
        <v>20</v>
      </c>
      <c r="F141" s="38">
        <f t="shared" si="20"/>
        <v>1.6666666666666667</v>
      </c>
      <c r="G141" s="239">
        <v>1</v>
      </c>
      <c r="H141" s="38">
        <f t="shared" si="21"/>
        <v>8.3333333333333329E-2</v>
      </c>
      <c r="I141" s="239">
        <v>2</v>
      </c>
      <c r="J141" s="113">
        <f t="shared" si="22"/>
        <v>0.16666666666666666</v>
      </c>
      <c r="K141" s="239">
        <v>0</v>
      </c>
      <c r="L141" s="25">
        <f t="shared" si="23"/>
        <v>0</v>
      </c>
      <c r="M141" s="299" t="s">
        <v>424</v>
      </c>
      <c r="N141" s="13"/>
      <c r="O141" s="64">
        <f>SUM(D140:D141)</f>
        <v>24</v>
      </c>
      <c r="P141" s="64">
        <f>SUM(E140:E141)</f>
        <v>30</v>
      </c>
      <c r="Q141" s="113">
        <f>+P141/O141</f>
        <v>1.25</v>
      </c>
      <c r="R141" s="64">
        <f>SUM(G140:G141)</f>
        <v>2</v>
      </c>
      <c r="S141" s="113">
        <f>+R141/O141</f>
        <v>8.3333333333333329E-2</v>
      </c>
      <c r="T141" s="64">
        <f>SUM(I140:I141)</f>
        <v>4</v>
      </c>
      <c r="U141" s="113">
        <f>+T141/O141</f>
        <v>0.16666666666666666</v>
      </c>
      <c r="V141" s="64">
        <f>SUM(K140:K141)</f>
        <v>0</v>
      </c>
      <c r="W141" s="312">
        <f>+V141/O141</f>
        <v>0</v>
      </c>
      <c r="X141" s="2"/>
    </row>
    <row r="142" spans="1:26" x14ac:dyDescent="0.15">
      <c r="A142" s="107" t="s">
        <v>426</v>
      </c>
      <c r="B142" s="237">
        <v>0.4604166666666667</v>
      </c>
      <c r="C142" s="237">
        <v>0.46527777777777773</v>
      </c>
      <c r="D142" s="14">
        <v>7</v>
      </c>
      <c r="E142" s="14">
        <v>13</v>
      </c>
      <c r="F142" s="38">
        <f t="shared" si="20"/>
        <v>1.8571428571428572</v>
      </c>
      <c r="G142" s="14">
        <v>3</v>
      </c>
      <c r="H142" s="38">
        <f t="shared" si="21"/>
        <v>0.42857142857142855</v>
      </c>
      <c r="I142" s="14">
        <v>1</v>
      </c>
      <c r="J142" s="113">
        <f t="shared" si="22"/>
        <v>0.14285714285714285</v>
      </c>
      <c r="K142" s="14">
        <v>0</v>
      </c>
      <c r="L142" s="25">
        <f t="shared" si="23"/>
        <v>0</v>
      </c>
      <c r="M142" s="14"/>
      <c r="N142" s="64"/>
      <c r="O142" s="13"/>
      <c r="P142" s="13"/>
      <c r="Q142" s="85"/>
      <c r="R142" s="13" t="s">
        <v>18</v>
      </c>
      <c r="S142" s="85"/>
      <c r="T142" s="13"/>
      <c r="U142" s="85"/>
      <c r="V142" s="13" t="s">
        <v>18</v>
      </c>
      <c r="W142" s="311"/>
      <c r="X142" s="2"/>
    </row>
    <row r="143" spans="1:26" ht="14" thickBot="1" x14ac:dyDescent="0.2">
      <c r="A143" s="80"/>
      <c r="B143" s="237">
        <v>0.51180555555555551</v>
      </c>
      <c r="C143" s="237">
        <v>0.52013888888888882</v>
      </c>
      <c r="D143" s="14">
        <v>12</v>
      </c>
      <c r="E143" s="14">
        <v>8</v>
      </c>
      <c r="F143" s="38">
        <f t="shared" si="20"/>
        <v>0.66666666666666663</v>
      </c>
      <c r="G143" s="14">
        <v>0</v>
      </c>
      <c r="H143" s="38">
        <f t="shared" si="21"/>
        <v>0</v>
      </c>
      <c r="I143" s="30">
        <v>4</v>
      </c>
      <c r="J143" s="113">
        <f t="shared" si="22"/>
        <v>0.33333333333333331</v>
      </c>
      <c r="K143" s="14">
        <v>0</v>
      </c>
      <c r="L143" s="25">
        <f t="shared" si="23"/>
        <v>0</v>
      </c>
      <c r="M143" s="64" t="s">
        <v>424</v>
      </c>
      <c r="N143" s="64"/>
      <c r="O143" s="64">
        <f>SUM(D142:D143)</f>
        <v>19</v>
      </c>
      <c r="P143" s="64">
        <f>SUM(E142:E143)</f>
        <v>21</v>
      </c>
      <c r="Q143" s="113">
        <f>+P143/O143</f>
        <v>1.1052631578947369</v>
      </c>
      <c r="R143" s="64">
        <f>SUM(G142:G143)</f>
        <v>3</v>
      </c>
      <c r="S143" s="113">
        <f>+R143/O143</f>
        <v>0.15789473684210525</v>
      </c>
      <c r="T143" s="64">
        <f>SUM(I142:I143)</f>
        <v>5</v>
      </c>
      <c r="U143" s="113">
        <f>+T143/O143</f>
        <v>0.26315789473684209</v>
      </c>
      <c r="V143" s="64">
        <f>SUM(K142:K143)</f>
        <v>0</v>
      </c>
      <c r="W143" s="312">
        <f>+V143/O143</f>
        <v>0</v>
      </c>
      <c r="X143" s="2"/>
    </row>
    <row r="144" spans="1:26" ht="14" thickBot="1" x14ac:dyDescent="0.2">
      <c r="A144" s="503" t="s">
        <v>217</v>
      </c>
      <c r="B144" s="251" t="s">
        <v>18</v>
      </c>
      <c r="C144" s="251"/>
      <c r="D144" s="300" t="s">
        <v>18</v>
      </c>
      <c r="E144" s="300" t="s">
        <v>18</v>
      </c>
      <c r="F144" s="301" t="s">
        <v>18</v>
      </c>
      <c r="G144" s="300" t="s">
        <v>18</v>
      </c>
      <c r="H144" s="301" t="s">
        <v>18</v>
      </c>
      <c r="I144" s="300" t="s">
        <v>18</v>
      </c>
      <c r="J144" s="301" t="s">
        <v>18</v>
      </c>
      <c r="K144" s="300" t="s">
        <v>18</v>
      </c>
      <c r="L144" s="302" t="s">
        <v>18</v>
      </c>
      <c r="M144" s="299"/>
      <c r="N144" s="307" t="s">
        <v>214</v>
      </c>
      <c r="O144" s="309">
        <f>SUM(O143,O141,O139,O135,O131,O127)</f>
        <v>227</v>
      </c>
      <c r="P144" s="309">
        <f>SUM(P143,P141,P139,P135,P131,P127)</f>
        <v>227</v>
      </c>
      <c r="Q144" s="323">
        <f>+P144/O144</f>
        <v>1</v>
      </c>
      <c r="R144" s="309">
        <f>SUM(R143,R141,R139,R135,R131,R127)</f>
        <v>65</v>
      </c>
      <c r="S144" s="323">
        <f>+R144/O144</f>
        <v>0.28634361233480177</v>
      </c>
      <c r="T144" s="309">
        <f>SUM(T143,T141,T139,T135,T131,T127)</f>
        <v>58</v>
      </c>
      <c r="U144" s="323">
        <f>+T144/O144</f>
        <v>0.25550660792951541</v>
      </c>
      <c r="V144" s="309">
        <f>SUM(V143,V141,V139,V135,V131,V127)</f>
        <v>3</v>
      </c>
      <c r="W144" s="324">
        <f>+V144/O144</f>
        <v>1.3215859030837005E-2</v>
      </c>
      <c r="X144" s="64"/>
    </row>
    <row r="145" spans="1:24" x14ac:dyDescent="0.15">
      <c r="A145" s="107" t="s">
        <v>416</v>
      </c>
      <c r="B145" s="251">
        <v>0.66875000000000007</v>
      </c>
      <c r="C145" s="251">
        <v>0.67569444444444438</v>
      </c>
      <c r="D145" s="64">
        <v>10</v>
      </c>
      <c r="E145" s="64">
        <v>10</v>
      </c>
      <c r="F145" s="38">
        <f t="shared" si="20"/>
        <v>1</v>
      </c>
      <c r="G145" s="238">
        <v>0</v>
      </c>
      <c r="H145" s="38">
        <f t="shared" si="21"/>
        <v>0</v>
      </c>
      <c r="I145" s="238">
        <v>1</v>
      </c>
      <c r="J145" s="113">
        <f t="shared" si="22"/>
        <v>0.1</v>
      </c>
      <c r="K145" s="238">
        <v>0</v>
      </c>
      <c r="L145" s="25">
        <f t="shared" si="23"/>
        <v>0</v>
      </c>
      <c r="M145" s="299" t="s">
        <v>421</v>
      </c>
      <c r="N145" s="64"/>
      <c r="O145" s="13"/>
      <c r="P145" s="13"/>
      <c r="Q145" s="85"/>
      <c r="R145" s="13"/>
      <c r="S145" s="85"/>
      <c r="T145" s="13"/>
      <c r="U145" s="85"/>
      <c r="V145" s="13"/>
      <c r="W145" s="311"/>
      <c r="X145" s="64"/>
    </row>
    <row r="146" spans="1:24" x14ac:dyDescent="0.15">
      <c r="A146" s="107"/>
      <c r="B146" s="251">
        <v>0.69374999999999998</v>
      </c>
      <c r="C146" s="251">
        <v>0.7006944444444444</v>
      </c>
      <c r="D146" s="239">
        <v>10</v>
      </c>
      <c r="E146" s="239">
        <v>4</v>
      </c>
      <c r="F146" s="38">
        <f t="shared" si="20"/>
        <v>0.4</v>
      </c>
      <c r="G146" s="238">
        <v>6</v>
      </c>
      <c r="H146" s="38">
        <f t="shared" si="21"/>
        <v>0.6</v>
      </c>
      <c r="I146" s="238">
        <v>4</v>
      </c>
      <c r="J146" s="113">
        <f t="shared" si="22"/>
        <v>0.4</v>
      </c>
      <c r="K146" s="238">
        <v>1</v>
      </c>
      <c r="L146" s="25">
        <f t="shared" si="23"/>
        <v>0.1</v>
      </c>
      <c r="M146" s="299" t="s">
        <v>421</v>
      </c>
      <c r="N146" s="64"/>
      <c r="O146" s="13"/>
      <c r="P146" s="13"/>
      <c r="Q146" s="85"/>
      <c r="R146" s="13"/>
      <c r="S146" s="85"/>
      <c r="T146" s="13"/>
      <c r="U146" s="85"/>
      <c r="V146" s="13"/>
      <c r="W146" s="311"/>
      <c r="X146" s="64"/>
    </row>
    <row r="147" spans="1:24" x14ac:dyDescent="0.15">
      <c r="A147" s="107"/>
      <c r="B147" s="251">
        <v>0.71388888888888891</v>
      </c>
      <c r="C147" s="251">
        <v>0.72083333333333333</v>
      </c>
      <c r="D147" s="239">
        <v>10</v>
      </c>
      <c r="E147" s="239">
        <v>19</v>
      </c>
      <c r="F147" s="38">
        <f t="shared" si="20"/>
        <v>1.9</v>
      </c>
      <c r="G147" s="238">
        <v>8</v>
      </c>
      <c r="H147" s="38">
        <f t="shared" si="21"/>
        <v>0.8</v>
      </c>
      <c r="I147" s="238">
        <v>6</v>
      </c>
      <c r="J147" s="113">
        <f t="shared" si="22"/>
        <v>0.6</v>
      </c>
      <c r="K147" s="238">
        <v>1</v>
      </c>
      <c r="L147" s="25">
        <f t="shared" si="23"/>
        <v>0.1</v>
      </c>
      <c r="M147" s="299" t="s">
        <v>418</v>
      </c>
      <c r="N147" s="64"/>
      <c r="O147" s="13"/>
      <c r="P147" s="13"/>
      <c r="Q147" s="85"/>
      <c r="R147" s="13"/>
      <c r="S147" s="85"/>
      <c r="T147" s="13"/>
      <c r="U147" s="85"/>
      <c r="V147" s="13"/>
      <c r="W147" s="311"/>
      <c r="X147" s="64"/>
    </row>
    <row r="148" spans="1:24" x14ac:dyDescent="0.15">
      <c r="A148" s="107"/>
      <c r="B148" s="251">
        <v>0.7402777777777777</v>
      </c>
      <c r="C148" s="251">
        <v>0.74722222222222223</v>
      </c>
      <c r="D148" s="239">
        <v>10</v>
      </c>
      <c r="E148" s="239">
        <v>6</v>
      </c>
      <c r="F148" s="38">
        <f t="shared" si="20"/>
        <v>0.6</v>
      </c>
      <c r="G148" s="238">
        <v>6</v>
      </c>
      <c r="H148" s="38">
        <f t="shared" si="21"/>
        <v>0.6</v>
      </c>
      <c r="I148" s="238">
        <v>2</v>
      </c>
      <c r="J148" s="113">
        <f t="shared" si="22"/>
        <v>0.2</v>
      </c>
      <c r="K148" s="238">
        <v>0</v>
      </c>
      <c r="L148" s="25">
        <f t="shared" si="23"/>
        <v>0</v>
      </c>
      <c r="M148" s="299" t="s">
        <v>424</v>
      </c>
      <c r="N148" s="64"/>
      <c r="O148" s="64">
        <f>SUM(D145:D148)</f>
        <v>40</v>
      </c>
      <c r="P148" s="64">
        <f>SUM(E145:E148)</f>
        <v>39</v>
      </c>
      <c r="Q148" s="113">
        <f>+P148/O148</f>
        <v>0.97499999999999998</v>
      </c>
      <c r="R148" s="64">
        <f>SUM(G145:G148)</f>
        <v>20</v>
      </c>
      <c r="S148" s="113">
        <f>+R148/O148</f>
        <v>0.5</v>
      </c>
      <c r="T148" s="64">
        <f>SUM(I145:I148)</f>
        <v>13</v>
      </c>
      <c r="U148" s="113">
        <f>+T148/O148</f>
        <v>0.32500000000000001</v>
      </c>
      <c r="V148" s="64">
        <f>SUM(K145:K148)</f>
        <v>2</v>
      </c>
      <c r="W148" s="312">
        <f>+V148/O148</f>
        <v>0.05</v>
      </c>
      <c r="X148" s="64"/>
    </row>
    <row r="149" spans="1:24" x14ac:dyDescent="0.15">
      <c r="A149" s="107" t="s">
        <v>423</v>
      </c>
      <c r="B149" s="251">
        <v>0.68541666666666667</v>
      </c>
      <c r="C149" s="251">
        <v>0.69236111111111109</v>
      </c>
      <c r="D149" s="64">
        <v>10</v>
      </c>
      <c r="E149" s="64">
        <v>8</v>
      </c>
      <c r="F149" s="38">
        <f t="shared" si="20"/>
        <v>0.8</v>
      </c>
      <c r="G149" s="64">
        <v>6</v>
      </c>
      <c r="H149" s="38">
        <f t="shared" si="21"/>
        <v>0.6</v>
      </c>
      <c r="I149" s="239">
        <v>2</v>
      </c>
      <c r="J149" s="113">
        <f t="shared" si="22"/>
        <v>0.2</v>
      </c>
      <c r="K149" s="64">
        <v>0</v>
      </c>
      <c r="L149" s="25">
        <f t="shared" si="23"/>
        <v>0</v>
      </c>
      <c r="M149" s="299"/>
      <c r="N149" s="64"/>
      <c r="O149" s="13"/>
      <c r="P149" s="13"/>
      <c r="Q149" s="85"/>
      <c r="R149" s="13"/>
      <c r="S149" s="85"/>
      <c r="T149" s="13"/>
      <c r="U149" s="85"/>
      <c r="V149" s="13"/>
      <c r="W149" s="311"/>
      <c r="X149" s="64"/>
    </row>
    <row r="150" spans="1:24" x14ac:dyDescent="0.15">
      <c r="A150" s="107"/>
      <c r="B150" s="251">
        <v>0.7055555555555556</v>
      </c>
      <c r="C150" s="251">
        <v>0.71250000000000002</v>
      </c>
      <c r="D150" s="239">
        <v>10</v>
      </c>
      <c r="E150" s="239">
        <v>10</v>
      </c>
      <c r="F150" s="38">
        <f t="shared" si="20"/>
        <v>1</v>
      </c>
      <c r="G150" s="239">
        <v>4</v>
      </c>
      <c r="H150" s="38">
        <f t="shared" si="21"/>
        <v>0.4</v>
      </c>
      <c r="I150" s="239">
        <v>1</v>
      </c>
      <c r="J150" s="113">
        <f t="shared" si="22"/>
        <v>0.1</v>
      </c>
      <c r="K150" s="239">
        <v>0</v>
      </c>
      <c r="L150" s="25">
        <f t="shared" si="23"/>
        <v>0</v>
      </c>
      <c r="M150" s="299" t="s">
        <v>421</v>
      </c>
      <c r="N150" s="64"/>
      <c r="O150" s="13"/>
      <c r="P150" s="13"/>
      <c r="Q150" s="85"/>
      <c r="R150" s="13"/>
      <c r="S150" s="85"/>
      <c r="T150" s="13"/>
      <c r="U150" s="85"/>
      <c r="V150" s="13"/>
      <c r="W150" s="311"/>
      <c r="X150" s="64"/>
    </row>
    <row r="151" spans="1:24" x14ac:dyDescent="0.15">
      <c r="A151" s="107"/>
      <c r="B151" s="251">
        <v>0.7319444444444444</v>
      </c>
      <c r="C151" s="251">
        <v>0.73888888888888893</v>
      </c>
      <c r="D151" s="239">
        <v>10</v>
      </c>
      <c r="E151" s="239">
        <v>3</v>
      </c>
      <c r="F151" s="38">
        <f t="shared" si="20"/>
        <v>0.3</v>
      </c>
      <c r="G151" s="239">
        <v>2</v>
      </c>
      <c r="H151" s="38">
        <f t="shared" si="21"/>
        <v>0.2</v>
      </c>
      <c r="I151" s="239">
        <v>3</v>
      </c>
      <c r="J151" s="113">
        <f t="shared" si="22"/>
        <v>0.3</v>
      </c>
      <c r="K151" s="239">
        <v>0</v>
      </c>
      <c r="L151" s="25">
        <f t="shared" si="23"/>
        <v>0</v>
      </c>
      <c r="M151" s="299" t="s">
        <v>424</v>
      </c>
      <c r="N151" s="64" t="s">
        <v>18</v>
      </c>
      <c r="O151" s="13"/>
      <c r="P151" s="13"/>
      <c r="Q151" s="85"/>
      <c r="R151" s="13"/>
      <c r="S151" s="85"/>
      <c r="T151" s="13"/>
      <c r="U151" s="85"/>
      <c r="V151" s="13"/>
      <c r="W151" s="311"/>
      <c r="X151" s="64"/>
    </row>
    <row r="152" spans="1:24" x14ac:dyDescent="0.15">
      <c r="A152" s="107"/>
      <c r="B152" s="251">
        <v>0.75138888888888899</v>
      </c>
      <c r="C152" s="251">
        <v>0.7583333333333333</v>
      </c>
      <c r="D152" s="239">
        <v>10</v>
      </c>
      <c r="E152" s="239">
        <v>10</v>
      </c>
      <c r="F152" s="38">
        <f t="shared" si="20"/>
        <v>1</v>
      </c>
      <c r="G152" s="239">
        <v>4</v>
      </c>
      <c r="H152" s="38">
        <f t="shared" si="21"/>
        <v>0.4</v>
      </c>
      <c r="I152" s="239">
        <v>1</v>
      </c>
      <c r="J152" s="113">
        <f t="shared" si="22"/>
        <v>0.1</v>
      </c>
      <c r="K152" s="239">
        <v>0</v>
      </c>
      <c r="L152" s="25">
        <f t="shared" si="23"/>
        <v>0</v>
      </c>
      <c r="M152" s="299" t="s">
        <v>421</v>
      </c>
      <c r="N152" s="64"/>
      <c r="O152" s="64">
        <f>SUM(D149:D152)</f>
        <v>40</v>
      </c>
      <c r="P152" s="64">
        <f>SUM(E149:E152)</f>
        <v>31</v>
      </c>
      <c r="Q152" s="113">
        <f>+P152/O152</f>
        <v>0.77500000000000002</v>
      </c>
      <c r="R152" s="64">
        <f>SUM(G149:G152)</f>
        <v>16</v>
      </c>
      <c r="S152" s="113">
        <f>+R152/O152</f>
        <v>0.4</v>
      </c>
      <c r="T152" s="64">
        <f>SUM(I149:I152)</f>
        <v>7</v>
      </c>
      <c r="U152" s="113">
        <f>+T152/O152</f>
        <v>0.17499999999999999</v>
      </c>
      <c r="V152" s="64">
        <f>SUM(K149:K152)</f>
        <v>0</v>
      </c>
      <c r="W152" s="312">
        <f>+V152/O152</f>
        <v>0</v>
      </c>
      <c r="X152" s="64"/>
    </row>
    <row r="153" spans="1:24" x14ac:dyDescent="0.15">
      <c r="A153" s="107" t="s">
        <v>419</v>
      </c>
      <c r="B153" s="251">
        <v>0.67847222222222225</v>
      </c>
      <c r="C153" s="251">
        <v>0.68541666666666667</v>
      </c>
      <c r="D153" s="64">
        <v>10</v>
      </c>
      <c r="E153" s="64">
        <v>15</v>
      </c>
      <c r="F153" s="38">
        <f t="shared" si="20"/>
        <v>1.5</v>
      </c>
      <c r="G153" s="64">
        <v>2</v>
      </c>
      <c r="H153" s="38">
        <f t="shared" si="21"/>
        <v>0.2</v>
      </c>
      <c r="I153" s="239">
        <v>7</v>
      </c>
      <c r="J153" s="113">
        <f t="shared" si="22"/>
        <v>0.7</v>
      </c>
      <c r="K153" s="64">
        <v>0</v>
      </c>
      <c r="L153" s="25">
        <f t="shared" si="23"/>
        <v>0</v>
      </c>
      <c r="M153" s="299" t="s">
        <v>418</v>
      </c>
      <c r="N153" s="64"/>
      <c r="O153" s="13"/>
      <c r="P153" s="13"/>
      <c r="Q153" s="85"/>
      <c r="R153" s="13"/>
      <c r="S153" s="85"/>
      <c r="T153" s="13"/>
      <c r="U153" s="85"/>
      <c r="V153" s="13"/>
      <c r="W153" s="311"/>
      <c r="X153" s="64"/>
    </row>
    <row r="154" spans="1:24" x14ac:dyDescent="0.15">
      <c r="A154" s="107"/>
      <c r="B154" s="251">
        <v>0.69652777777777775</v>
      </c>
      <c r="C154" s="251">
        <v>0.70347222222222217</v>
      </c>
      <c r="D154" s="64">
        <v>10</v>
      </c>
      <c r="E154" s="64">
        <v>11</v>
      </c>
      <c r="F154" s="38">
        <f t="shared" si="20"/>
        <v>1.1000000000000001</v>
      </c>
      <c r="G154" s="64">
        <v>2</v>
      </c>
      <c r="H154" s="38">
        <f t="shared" si="21"/>
        <v>0.2</v>
      </c>
      <c r="I154" s="239">
        <v>1</v>
      </c>
      <c r="J154" s="113">
        <f t="shared" si="22"/>
        <v>0.1</v>
      </c>
      <c r="K154" s="64">
        <v>0</v>
      </c>
      <c r="L154" s="25">
        <f t="shared" si="23"/>
        <v>0</v>
      </c>
      <c r="M154" s="299" t="s">
        <v>421</v>
      </c>
      <c r="N154" s="64"/>
      <c r="O154" s="13"/>
      <c r="P154" s="13"/>
      <c r="Q154" s="85"/>
      <c r="R154" s="13"/>
      <c r="S154" s="85"/>
      <c r="T154" s="13"/>
      <c r="U154" s="85"/>
      <c r="V154" s="13"/>
      <c r="W154" s="311"/>
      <c r="X154" s="64"/>
    </row>
    <row r="155" spans="1:24" x14ac:dyDescent="0.15">
      <c r="A155" s="107"/>
      <c r="B155" s="251">
        <v>0.72291666666666676</v>
      </c>
      <c r="C155" s="251">
        <v>0.72986111111111107</v>
      </c>
      <c r="D155" s="239">
        <v>10</v>
      </c>
      <c r="E155" s="239">
        <v>14</v>
      </c>
      <c r="F155" s="38">
        <f t="shared" si="20"/>
        <v>1.4</v>
      </c>
      <c r="G155" s="239">
        <v>1</v>
      </c>
      <c r="H155" s="38">
        <f t="shared" si="21"/>
        <v>0.1</v>
      </c>
      <c r="I155" s="239">
        <v>5</v>
      </c>
      <c r="J155" s="113">
        <f t="shared" si="22"/>
        <v>0.5</v>
      </c>
      <c r="K155" s="239">
        <v>0</v>
      </c>
      <c r="L155" s="25">
        <f t="shared" si="23"/>
        <v>0</v>
      </c>
      <c r="M155" s="299" t="s">
        <v>425</v>
      </c>
      <c r="N155" s="64"/>
      <c r="O155" s="13"/>
      <c r="P155" s="13"/>
      <c r="Q155" s="85"/>
      <c r="R155" s="13"/>
      <c r="S155" s="85"/>
      <c r="T155" s="13"/>
      <c r="U155" s="85"/>
      <c r="V155" s="13"/>
      <c r="W155" s="311"/>
      <c r="X155" s="64"/>
    </row>
    <row r="156" spans="1:24" x14ac:dyDescent="0.15">
      <c r="A156" s="107"/>
      <c r="B156" s="251">
        <v>0.74861111111111101</v>
      </c>
      <c r="C156" s="251">
        <v>0.75555555555555554</v>
      </c>
      <c r="D156" s="239">
        <v>10</v>
      </c>
      <c r="E156" s="239">
        <v>4</v>
      </c>
      <c r="F156" s="38">
        <f t="shared" si="20"/>
        <v>0.4</v>
      </c>
      <c r="G156" s="239">
        <v>3</v>
      </c>
      <c r="H156" s="38">
        <f t="shared" si="21"/>
        <v>0.3</v>
      </c>
      <c r="I156" s="239">
        <v>2</v>
      </c>
      <c r="J156" s="113">
        <f t="shared" si="22"/>
        <v>0.2</v>
      </c>
      <c r="K156" s="239">
        <v>0</v>
      </c>
      <c r="L156" s="25">
        <f t="shared" si="23"/>
        <v>0</v>
      </c>
      <c r="M156" s="299" t="s">
        <v>424</v>
      </c>
      <c r="N156" s="64"/>
      <c r="O156" s="64">
        <f>SUM(D153:D156)</f>
        <v>40</v>
      </c>
      <c r="P156" s="64">
        <f>SUM(E153:E156)</f>
        <v>44</v>
      </c>
      <c r="Q156" s="113">
        <f>+P156/O156</f>
        <v>1.1000000000000001</v>
      </c>
      <c r="R156" s="64">
        <f>SUM(G153:G156)</f>
        <v>8</v>
      </c>
      <c r="S156" s="113">
        <f>+R156/O156</f>
        <v>0.2</v>
      </c>
      <c r="T156" s="64">
        <f>SUM(I153:I156)</f>
        <v>15</v>
      </c>
      <c r="U156" s="113">
        <f>+T156/O156</f>
        <v>0.375</v>
      </c>
      <c r="V156" s="64">
        <f>SUM(K153:K156)</f>
        <v>0</v>
      </c>
      <c r="W156" s="312">
        <f>+V156/O156</f>
        <v>0</v>
      </c>
      <c r="X156" s="64"/>
    </row>
    <row r="157" spans="1:24" x14ac:dyDescent="0.15">
      <c r="A157" s="107" t="s">
        <v>422</v>
      </c>
      <c r="B157" s="251">
        <v>0.67569444444444438</v>
      </c>
      <c r="C157" s="251">
        <v>0.68263888888888891</v>
      </c>
      <c r="D157" s="64">
        <v>10</v>
      </c>
      <c r="E157" s="64">
        <v>7</v>
      </c>
      <c r="F157" s="38">
        <f t="shared" si="20"/>
        <v>0.7</v>
      </c>
      <c r="G157" s="64">
        <v>3</v>
      </c>
      <c r="H157" s="38">
        <f t="shared" si="21"/>
        <v>0.3</v>
      </c>
      <c r="I157" s="239">
        <v>6</v>
      </c>
      <c r="J157" s="113">
        <f t="shared" si="22"/>
        <v>0.6</v>
      </c>
      <c r="K157" s="64">
        <v>0</v>
      </c>
      <c r="L157" s="25">
        <f t="shared" si="23"/>
        <v>0</v>
      </c>
      <c r="M157" s="299" t="s">
        <v>418</v>
      </c>
      <c r="N157" s="64"/>
      <c r="O157" s="13"/>
      <c r="P157" s="13"/>
      <c r="Q157" s="85"/>
      <c r="R157" s="13"/>
      <c r="S157" s="85"/>
      <c r="T157" s="13"/>
      <c r="U157" s="85"/>
      <c r="V157" s="13"/>
      <c r="W157" s="311"/>
      <c r="X157" s="64"/>
    </row>
    <row r="158" spans="1:24" x14ac:dyDescent="0.15">
      <c r="A158" s="107"/>
      <c r="B158" s="251">
        <v>0.6958333333333333</v>
      </c>
      <c r="C158" s="251">
        <v>0.70277777777777783</v>
      </c>
      <c r="D158" s="239">
        <v>10</v>
      </c>
      <c r="E158" s="239">
        <v>7</v>
      </c>
      <c r="F158" s="38">
        <f t="shared" si="20"/>
        <v>0.7</v>
      </c>
      <c r="G158" s="239">
        <v>5</v>
      </c>
      <c r="H158" s="38">
        <f t="shared" si="21"/>
        <v>0.5</v>
      </c>
      <c r="I158" s="239">
        <v>6</v>
      </c>
      <c r="J158" s="113">
        <f t="shared" si="22"/>
        <v>0.6</v>
      </c>
      <c r="K158" s="239">
        <v>0</v>
      </c>
      <c r="L158" s="25">
        <f t="shared" si="23"/>
        <v>0</v>
      </c>
      <c r="M158" s="299" t="s">
        <v>425</v>
      </c>
      <c r="N158" s="64"/>
      <c r="O158" s="13"/>
      <c r="P158" s="13"/>
      <c r="Q158" s="85"/>
      <c r="R158" s="13"/>
      <c r="S158" s="85"/>
      <c r="T158" s="13"/>
      <c r="U158" s="85"/>
      <c r="V158" s="13"/>
      <c r="W158" s="311"/>
      <c r="X158" s="64"/>
    </row>
    <row r="159" spans="1:24" x14ac:dyDescent="0.15">
      <c r="A159" s="107"/>
      <c r="B159" s="251">
        <v>0.72291666666666676</v>
      </c>
      <c r="C159" s="251">
        <v>0.72986111111111107</v>
      </c>
      <c r="D159" s="239">
        <v>10</v>
      </c>
      <c r="E159" s="239">
        <v>6</v>
      </c>
      <c r="F159" s="38">
        <f t="shared" si="20"/>
        <v>0.6</v>
      </c>
      <c r="G159" s="239">
        <v>2</v>
      </c>
      <c r="H159" s="38">
        <f t="shared" si="21"/>
        <v>0.2</v>
      </c>
      <c r="I159" s="239">
        <v>7</v>
      </c>
      <c r="J159" s="113">
        <f t="shared" si="22"/>
        <v>0.7</v>
      </c>
      <c r="K159" s="239">
        <v>0</v>
      </c>
      <c r="L159" s="25">
        <f t="shared" si="23"/>
        <v>0</v>
      </c>
      <c r="M159" s="299" t="s">
        <v>428</v>
      </c>
      <c r="N159" s="64" t="s">
        <v>18</v>
      </c>
      <c r="O159" s="13" t="s">
        <v>18</v>
      </c>
      <c r="P159" s="13"/>
      <c r="Q159" s="85"/>
      <c r="R159" s="13"/>
      <c r="S159" s="85"/>
      <c r="T159" s="13"/>
      <c r="U159" s="85"/>
      <c r="V159" s="13"/>
      <c r="W159" s="311"/>
      <c r="X159" s="64" t="s">
        <v>18</v>
      </c>
    </row>
    <row r="160" spans="1:24" x14ac:dyDescent="0.15">
      <c r="A160" s="107"/>
      <c r="B160" s="251">
        <v>0.74236111111111114</v>
      </c>
      <c r="C160" s="251">
        <v>0.74930555555555556</v>
      </c>
      <c r="D160" s="239">
        <v>10</v>
      </c>
      <c r="E160" s="239">
        <v>9</v>
      </c>
      <c r="F160" s="38">
        <f t="shared" si="20"/>
        <v>0.9</v>
      </c>
      <c r="G160" s="239">
        <v>5</v>
      </c>
      <c r="H160" s="38">
        <f t="shared" si="21"/>
        <v>0.5</v>
      </c>
      <c r="I160" s="239">
        <v>1</v>
      </c>
      <c r="J160" s="113">
        <f t="shared" si="22"/>
        <v>0.1</v>
      </c>
      <c r="K160" s="239">
        <v>1</v>
      </c>
      <c r="L160" s="25">
        <f t="shared" si="23"/>
        <v>0.1</v>
      </c>
      <c r="M160" s="299" t="s">
        <v>421</v>
      </c>
      <c r="N160" s="64"/>
      <c r="O160" s="64">
        <f>SUM(D157:D160)</f>
        <v>40</v>
      </c>
      <c r="P160" s="64">
        <f>SUM(E157:E160)</f>
        <v>29</v>
      </c>
      <c r="Q160" s="113">
        <f>+P160/O160</f>
        <v>0.72499999999999998</v>
      </c>
      <c r="R160" s="64">
        <f>SUM(G157:G160)</f>
        <v>15</v>
      </c>
      <c r="S160" s="113">
        <f>+R160/O160</f>
        <v>0.375</v>
      </c>
      <c r="T160" s="64">
        <f>SUM(I157:I160)</f>
        <v>20</v>
      </c>
      <c r="U160" s="113">
        <f>+T160/O160</f>
        <v>0.5</v>
      </c>
      <c r="V160" s="64">
        <f>SUM(K157:K160)</f>
        <v>1</v>
      </c>
      <c r="W160" s="312">
        <f>+V160/O160</f>
        <v>2.5000000000000001E-2</v>
      </c>
      <c r="X160" s="64" t="s">
        <v>18</v>
      </c>
    </row>
    <row r="161" spans="1:26" x14ac:dyDescent="0.15">
      <c r="A161" s="107" t="s">
        <v>420</v>
      </c>
      <c r="B161" s="251">
        <v>0.68819444444444444</v>
      </c>
      <c r="C161" s="251">
        <v>0.69513888888888886</v>
      </c>
      <c r="D161" s="64">
        <v>10</v>
      </c>
      <c r="E161" s="64">
        <v>8</v>
      </c>
      <c r="F161" s="38">
        <f t="shared" si="20"/>
        <v>0.8</v>
      </c>
      <c r="G161" s="64">
        <v>2</v>
      </c>
      <c r="H161" s="38">
        <f t="shared" si="21"/>
        <v>0.2</v>
      </c>
      <c r="I161" s="239">
        <v>3</v>
      </c>
      <c r="J161" s="113">
        <f t="shared" si="22"/>
        <v>0.3</v>
      </c>
      <c r="K161" s="64">
        <v>1</v>
      </c>
      <c r="L161" s="25">
        <f t="shared" si="23"/>
        <v>0.1</v>
      </c>
      <c r="M161" s="299"/>
      <c r="N161" s="64"/>
      <c r="O161" s="13"/>
      <c r="P161" s="13"/>
      <c r="Q161" s="85"/>
      <c r="R161" s="13"/>
      <c r="S161" s="85"/>
      <c r="T161" s="13"/>
      <c r="U161" s="85"/>
      <c r="V161" s="13"/>
      <c r="W161" s="311"/>
      <c r="X161" s="64"/>
    </row>
    <row r="162" spans="1:26" x14ac:dyDescent="0.15">
      <c r="A162" s="107" t="s">
        <v>426</v>
      </c>
      <c r="B162" s="251">
        <v>0.66736111111111107</v>
      </c>
      <c r="C162" s="251">
        <v>0.6743055555555556</v>
      </c>
      <c r="D162" s="64">
        <v>10</v>
      </c>
      <c r="E162" s="64">
        <v>6</v>
      </c>
      <c r="F162" s="38">
        <f t="shared" si="20"/>
        <v>0.6</v>
      </c>
      <c r="G162" s="64">
        <v>3</v>
      </c>
      <c r="H162" s="38">
        <f t="shared" si="21"/>
        <v>0.3</v>
      </c>
      <c r="I162" s="239">
        <v>1</v>
      </c>
      <c r="J162" s="113">
        <f t="shared" si="22"/>
        <v>0.1</v>
      </c>
      <c r="K162" s="64">
        <v>0</v>
      </c>
      <c r="L162" s="25">
        <f t="shared" si="23"/>
        <v>0</v>
      </c>
      <c r="M162" s="299" t="s">
        <v>421</v>
      </c>
      <c r="N162" s="64"/>
      <c r="O162" s="64">
        <f>SUM(D161:D162)</f>
        <v>20</v>
      </c>
      <c r="P162" s="64">
        <f>SUM(E161:E162)</f>
        <v>14</v>
      </c>
      <c r="Q162" s="113">
        <f>+P162/O162</f>
        <v>0.7</v>
      </c>
      <c r="R162" s="64">
        <f>SUM(G161:G162)</f>
        <v>5</v>
      </c>
      <c r="S162" s="113">
        <f>+R162/O162</f>
        <v>0.25</v>
      </c>
      <c r="T162" s="64">
        <f>SUM(I161:I162)</f>
        <v>4</v>
      </c>
      <c r="U162" s="113">
        <f>+T162/O162</f>
        <v>0.2</v>
      </c>
      <c r="V162" s="64">
        <f>SUM(K161:K162)</f>
        <v>1</v>
      </c>
      <c r="W162" s="312">
        <f>+V162/O162</f>
        <v>0.05</v>
      </c>
      <c r="X162" s="64"/>
    </row>
    <row r="163" spans="1:26" x14ac:dyDescent="0.15">
      <c r="A163" s="107"/>
      <c r="B163" s="251">
        <v>0.71458333333333324</v>
      </c>
      <c r="C163" s="251">
        <v>0.72152777777777777</v>
      </c>
      <c r="D163" s="303">
        <v>10</v>
      </c>
      <c r="E163" s="303">
        <v>5</v>
      </c>
      <c r="F163" s="38">
        <f t="shared" si="20"/>
        <v>0.5</v>
      </c>
      <c r="G163" s="303">
        <v>3</v>
      </c>
      <c r="H163" s="38">
        <f t="shared" si="21"/>
        <v>0.3</v>
      </c>
      <c r="I163" s="303">
        <v>6</v>
      </c>
      <c r="J163" s="113">
        <f t="shared" si="22"/>
        <v>0.6</v>
      </c>
      <c r="K163" s="303">
        <v>0</v>
      </c>
      <c r="L163" s="25">
        <f t="shared" si="23"/>
        <v>0</v>
      </c>
      <c r="M163" s="299" t="s">
        <v>418</v>
      </c>
      <c r="N163" s="64" t="s">
        <v>18</v>
      </c>
      <c r="O163" s="13"/>
      <c r="P163" s="13"/>
      <c r="Q163" s="85"/>
      <c r="R163" s="13" t="s">
        <v>18</v>
      </c>
      <c r="S163" s="85"/>
      <c r="T163" s="13"/>
      <c r="U163" s="85"/>
      <c r="V163" s="13"/>
      <c r="W163" s="311"/>
      <c r="X163" s="64" t="s">
        <v>18</v>
      </c>
    </row>
    <row r="164" spans="1:26" ht="14" thickBot="1" x14ac:dyDescent="0.2">
      <c r="A164" s="107" t="s">
        <v>18</v>
      </c>
      <c r="B164" s="251">
        <v>0.7319444444444444</v>
      </c>
      <c r="C164" s="251">
        <v>0.73888888888888893</v>
      </c>
      <c r="D164" s="303">
        <v>10</v>
      </c>
      <c r="E164" s="303">
        <v>13</v>
      </c>
      <c r="F164" s="38">
        <f t="shared" si="20"/>
        <v>1.3</v>
      </c>
      <c r="G164" s="303">
        <v>0</v>
      </c>
      <c r="H164" s="38">
        <f t="shared" si="21"/>
        <v>0</v>
      </c>
      <c r="I164" s="303">
        <v>8</v>
      </c>
      <c r="J164" s="113">
        <f t="shared" si="22"/>
        <v>0.8</v>
      </c>
      <c r="K164" s="303">
        <v>0</v>
      </c>
      <c r="L164" s="25">
        <f t="shared" si="23"/>
        <v>0</v>
      </c>
      <c r="M164" s="299" t="s">
        <v>418</v>
      </c>
      <c r="N164" s="64"/>
      <c r="O164" s="64">
        <f>SUM(D163:D164)</f>
        <v>20</v>
      </c>
      <c r="P164" s="64">
        <f>SUM(E163:E164)</f>
        <v>18</v>
      </c>
      <c r="Q164" s="113">
        <f>+P164/O164</f>
        <v>0.9</v>
      </c>
      <c r="R164" s="64">
        <f>SUM(G163:G164)</f>
        <v>3</v>
      </c>
      <c r="S164" s="113">
        <f>+R164/O164</f>
        <v>0.15</v>
      </c>
      <c r="T164" s="64">
        <f>SUM(I163:I164)</f>
        <v>14</v>
      </c>
      <c r="U164" s="113">
        <f>+T164/O164</f>
        <v>0.7</v>
      </c>
      <c r="V164" s="64">
        <f>SUM(K163:K164)</f>
        <v>0</v>
      </c>
      <c r="W164" s="312">
        <f>+V164/O164</f>
        <v>0</v>
      </c>
      <c r="X164" s="64"/>
      <c r="Z164" s="2" t="s">
        <v>18</v>
      </c>
    </row>
    <row r="165" spans="1:26" ht="14" thickBot="1" x14ac:dyDescent="0.2">
      <c r="A165" s="42" t="s">
        <v>68</v>
      </c>
      <c r="B165" s="141"/>
      <c r="C165" s="141"/>
      <c r="D165" s="338">
        <f>+SUM(D124:D164)</f>
        <v>427</v>
      </c>
      <c r="E165" s="338">
        <f>+SUM(E124:E164)</f>
        <v>402</v>
      </c>
      <c r="F165" s="589">
        <f t="shared" si="20"/>
        <v>0.94145199063231855</v>
      </c>
      <c r="G165" s="338">
        <f>+SUM(G124:G164)</f>
        <v>132</v>
      </c>
      <c r="H165" s="589">
        <f t="shared" si="21"/>
        <v>0.30913348946135832</v>
      </c>
      <c r="I165" s="338">
        <f>+SUM(I124:I164)</f>
        <v>131</v>
      </c>
      <c r="J165" s="589">
        <f t="shared" si="22"/>
        <v>0.30679156908665106</v>
      </c>
      <c r="K165" s="338">
        <f>+SUM(K124:K164)</f>
        <v>7</v>
      </c>
      <c r="L165" s="829">
        <f t="shared" si="23"/>
        <v>1.6393442622950821E-2</v>
      </c>
      <c r="M165" s="347"/>
      <c r="N165" s="309" t="s">
        <v>218</v>
      </c>
      <c r="O165" s="338">
        <f>+SUM(O145:O164)</f>
        <v>200</v>
      </c>
      <c r="P165" s="338">
        <f>+SUM(P145:P164)</f>
        <v>175</v>
      </c>
      <c r="Q165" s="348">
        <f>+P165/O165</f>
        <v>0.875</v>
      </c>
      <c r="R165" s="338">
        <f>+SUM(R145:R164)</f>
        <v>67</v>
      </c>
      <c r="S165" s="348">
        <f>+R165/O165</f>
        <v>0.33500000000000002</v>
      </c>
      <c r="T165" s="338">
        <f>+SUM(T145:T164)</f>
        <v>73</v>
      </c>
      <c r="U165" s="348">
        <f>+T165/O165</f>
        <v>0.36499999999999999</v>
      </c>
      <c r="V165" s="338">
        <f>+SUM(V145:V164)</f>
        <v>4</v>
      </c>
      <c r="W165" s="349">
        <f>+V165/O165</f>
        <v>0.02</v>
      </c>
      <c r="X165" s="2" t="s">
        <v>18</v>
      </c>
    </row>
    <row r="166" spans="1:26" x14ac:dyDescent="0.15">
      <c r="A166" s="48" t="s">
        <v>455</v>
      </c>
      <c r="B166" s="263"/>
      <c r="C166" s="32"/>
      <c r="D166" s="350">
        <f>+D165</f>
        <v>427</v>
      </c>
      <c r="E166" s="351">
        <f>+E165+G165</f>
        <v>534</v>
      </c>
      <c r="F166" s="827">
        <f>+E166/D166</f>
        <v>1.2505854800936769</v>
      </c>
      <c r="G166" s="350"/>
      <c r="H166" s="352"/>
      <c r="I166" s="350"/>
      <c r="J166" s="352"/>
      <c r="K166" s="350"/>
      <c r="L166" s="353"/>
      <c r="M166" s="354"/>
      <c r="N166" s="355"/>
      <c r="O166" s="350"/>
      <c r="P166" s="350"/>
      <c r="Q166" s="352"/>
      <c r="R166" s="350"/>
      <c r="S166" s="352"/>
      <c r="T166" s="350"/>
      <c r="U166" s="352"/>
      <c r="V166" s="350"/>
      <c r="W166" s="356"/>
      <c r="X166" s="2"/>
    </row>
    <row r="167" spans="1:26" x14ac:dyDescent="0.15">
      <c r="A167" s="357" t="s">
        <v>456</v>
      </c>
      <c r="B167" s="218"/>
      <c r="C167" s="358"/>
      <c r="D167" s="359">
        <f>+D165</f>
        <v>427</v>
      </c>
      <c r="E167" s="360">
        <f>+I165+K165</f>
        <v>138</v>
      </c>
      <c r="F167" s="828">
        <f t="shared" si="20"/>
        <v>0.3231850117096019</v>
      </c>
      <c r="G167" s="359"/>
      <c r="H167" s="361" t="s">
        <v>18</v>
      </c>
      <c r="I167" s="359"/>
      <c r="J167" s="361"/>
      <c r="K167" s="359"/>
      <c r="L167" s="362"/>
      <c r="M167" s="363"/>
      <c r="N167" s="364"/>
      <c r="O167" s="359"/>
      <c r="P167" s="359"/>
      <c r="Q167" s="361"/>
      <c r="R167" s="359"/>
      <c r="S167" s="361"/>
      <c r="T167" s="359"/>
      <c r="U167" s="361"/>
      <c r="V167" s="359"/>
      <c r="W167" s="365"/>
      <c r="X167" s="2"/>
    </row>
    <row r="168" spans="1:26" x14ac:dyDescent="0.15">
      <c r="A168" s="357" t="s">
        <v>802</v>
      </c>
      <c r="B168" s="218"/>
      <c r="C168" s="358"/>
      <c r="D168" s="359">
        <f>+D167</f>
        <v>427</v>
      </c>
      <c r="E168" s="360">
        <f>+E166+E167</f>
        <v>672</v>
      </c>
      <c r="F168" s="828">
        <f>+E168/D168</f>
        <v>1.5737704918032787</v>
      </c>
      <c r="G168" s="359"/>
      <c r="H168" s="361"/>
      <c r="I168" s="359"/>
      <c r="J168" s="361"/>
      <c r="K168" s="359"/>
      <c r="L168" s="362"/>
      <c r="M168" s="363"/>
      <c r="N168" s="364"/>
      <c r="O168" s="359"/>
      <c r="P168" s="359"/>
      <c r="Q168" s="361"/>
      <c r="R168" s="359"/>
      <c r="S168" s="361"/>
      <c r="T168" s="359"/>
      <c r="U168" s="361"/>
      <c r="V168" s="359"/>
      <c r="W168" s="365"/>
      <c r="X168" s="2"/>
    </row>
    <row r="169" spans="1:26" x14ac:dyDescent="0.15">
      <c r="A169" s="366"/>
      <c r="B169" s="367"/>
      <c r="C169" s="367"/>
      <c r="D169" s="367"/>
      <c r="E169" s="367"/>
      <c r="F169" s="367"/>
      <c r="G169" s="367" t="s">
        <v>18</v>
      </c>
      <c r="H169" s="367"/>
      <c r="I169" s="367"/>
      <c r="J169" s="367"/>
      <c r="K169" s="367"/>
      <c r="L169" s="367"/>
      <c r="M169" s="367"/>
      <c r="N169" s="368"/>
      <c r="O169" s="367" t="s">
        <v>18</v>
      </c>
      <c r="P169" s="367"/>
      <c r="Q169" s="367" t="s">
        <v>18</v>
      </c>
      <c r="R169" s="367"/>
      <c r="S169" s="367"/>
      <c r="T169" s="367"/>
      <c r="U169" s="367"/>
      <c r="V169" s="367"/>
      <c r="W169" s="369"/>
      <c r="X169" s="2"/>
    </row>
    <row r="170" spans="1:26" ht="14" thickBot="1" x14ac:dyDescent="0.2">
      <c r="A170" s="55" t="s">
        <v>12</v>
      </c>
      <c r="B170" s="182"/>
      <c r="C170" s="19"/>
      <c r="D170" s="19" t="s">
        <v>18</v>
      </c>
      <c r="E170" s="19"/>
      <c r="F170" s="18" t="s">
        <v>169</v>
      </c>
      <c r="G170" s="18" t="s">
        <v>170</v>
      </c>
      <c r="H170" s="18" t="s">
        <v>220</v>
      </c>
      <c r="I170" s="18" t="s">
        <v>184</v>
      </c>
      <c r="J170" s="18"/>
      <c r="K170" s="14"/>
      <c r="L170" s="136"/>
      <c r="M170" s="14"/>
      <c r="N170" s="64" t="s">
        <v>18</v>
      </c>
      <c r="O170" s="64"/>
      <c r="P170" s="64"/>
      <c r="Q170" s="64" t="s">
        <v>18</v>
      </c>
      <c r="R170" s="64"/>
      <c r="S170" s="64"/>
      <c r="T170" s="64"/>
      <c r="U170" s="64"/>
      <c r="V170" s="64"/>
      <c r="W170" s="233"/>
      <c r="X170" s="2"/>
    </row>
    <row r="171" spans="1:26" x14ac:dyDescent="0.15">
      <c r="A171" s="74" t="s">
        <v>639</v>
      </c>
      <c r="B171" s="163" t="s">
        <v>213</v>
      </c>
      <c r="C171" s="164"/>
      <c r="D171" s="21"/>
      <c r="E171" s="19"/>
      <c r="F171" s="64" t="s">
        <v>356</v>
      </c>
      <c r="G171" s="235" t="s">
        <v>191</v>
      </c>
      <c r="H171" s="26" t="s">
        <v>172</v>
      </c>
      <c r="I171" s="230" t="s">
        <v>185</v>
      </c>
      <c r="J171" s="230" t="s">
        <v>18</v>
      </c>
      <c r="K171" s="230" t="s">
        <v>18</v>
      </c>
      <c r="L171" s="157" t="s">
        <v>18</v>
      </c>
      <c r="M171" s="19"/>
      <c r="N171" s="163" t="s">
        <v>213</v>
      </c>
      <c r="O171" s="164"/>
      <c r="P171" s="14" t="s">
        <v>18</v>
      </c>
      <c r="Q171" s="14"/>
      <c r="R171" s="64" t="s">
        <v>18</v>
      </c>
      <c r="S171" s="14"/>
      <c r="T171" s="14"/>
      <c r="U171" s="14"/>
      <c r="V171" s="14"/>
      <c r="W171" s="136"/>
    </row>
    <row r="172" spans="1:26" ht="14" thickBot="1" x14ac:dyDescent="0.2">
      <c r="A172" s="95"/>
      <c r="B172" s="158" t="s">
        <v>215</v>
      </c>
      <c r="C172" s="165"/>
      <c r="D172" s="160"/>
      <c r="E172" s="160"/>
      <c r="F172" s="160"/>
      <c r="G172" s="161"/>
      <c r="H172" s="236" t="s">
        <v>357</v>
      </c>
      <c r="I172" s="160" t="s">
        <v>18</v>
      </c>
      <c r="J172" s="160"/>
      <c r="K172" s="160"/>
      <c r="L172" s="162"/>
      <c r="M172" s="160"/>
      <c r="N172" s="158" t="s">
        <v>215</v>
      </c>
      <c r="O172" s="165"/>
      <c r="P172" s="13"/>
      <c r="Q172" s="14"/>
      <c r="R172" s="14"/>
      <c r="S172" s="14"/>
      <c r="T172" s="14"/>
      <c r="U172" s="14"/>
      <c r="V172" s="14"/>
      <c r="W172" s="136"/>
    </row>
    <row r="173" spans="1:26" x14ac:dyDescent="0.15">
      <c r="A173" s="149" t="s">
        <v>216</v>
      </c>
      <c r="B173" s="48" t="s">
        <v>188</v>
      </c>
      <c r="C173" s="32" t="s">
        <v>188</v>
      </c>
      <c r="D173" s="32" t="s">
        <v>206</v>
      </c>
      <c r="E173" s="32" t="s">
        <v>197</v>
      </c>
      <c r="F173" s="32" t="s">
        <v>209</v>
      </c>
      <c r="G173" s="32" t="s">
        <v>197</v>
      </c>
      <c r="H173" s="32" t="s">
        <v>209</v>
      </c>
      <c r="I173" s="32" t="s">
        <v>201</v>
      </c>
      <c r="J173" s="32" t="s">
        <v>209</v>
      </c>
      <c r="K173" s="32" t="s">
        <v>203</v>
      </c>
      <c r="L173" s="32" t="s">
        <v>209</v>
      </c>
      <c r="M173" s="32"/>
      <c r="N173" s="32" t="s">
        <v>18</v>
      </c>
      <c r="O173" s="32" t="s">
        <v>206</v>
      </c>
      <c r="P173" s="32" t="s">
        <v>197</v>
      </c>
      <c r="Q173" s="32" t="s">
        <v>209</v>
      </c>
      <c r="R173" s="32" t="s">
        <v>197</v>
      </c>
      <c r="S173" s="32" t="s">
        <v>209</v>
      </c>
      <c r="T173" s="32" t="s">
        <v>201</v>
      </c>
      <c r="U173" s="32" t="s">
        <v>209</v>
      </c>
      <c r="V173" s="32" t="s">
        <v>203</v>
      </c>
      <c r="W173" s="151" t="s">
        <v>209</v>
      </c>
    </row>
    <row r="174" spans="1:26" ht="14" thickBot="1" x14ac:dyDescent="0.2">
      <c r="A174" s="150" t="s">
        <v>353</v>
      </c>
      <c r="B174" s="89" t="s">
        <v>207</v>
      </c>
      <c r="C174" s="33" t="s">
        <v>208</v>
      </c>
      <c r="D174" s="33" t="s">
        <v>205</v>
      </c>
      <c r="E174" s="33" t="s">
        <v>198</v>
      </c>
      <c r="F174" s="33" t="s">
        <v>210</v>
      </c>
      <c r="G174" s="33" t="s">
        <v>199</v>
      </c>
      <c r="H174" s="33" t="s">
        <v>210</v>
      </c>
      <c r="I174" s="33" t="s">
        <v>200</v>
      </c>
      <c r="J174" s="33" t="s">
        <v>210</v>
      </c>
      <c r="K174" s="33" t="s">
        <v>204</v>
      </c>
      <c r="L174" s="33" t="s">
        <v>210</v>
      </c>
      <c r="M174" s="33"/>
      <c r="N174" s="33"/>
      <c r="O174" s="33" t="s">
        <v>205</v>
      </c>
      <c r="P174" s="33" t="s">
        <v>198</v>
      </c>
      <c r="Q174" s="33" t="s">
        <v>210</v>
      </c>
      <c r="R174" s="33" t="s">
        <v>199</v>
      </c>
      <c r="S174" s="33" t="s">
        <v>210</v>
      </c>
      <c r="T174" s="33" t="s">
        <v>200</v>
      </c>
      <c r="U174" s="33" t="s">
        <v>210</v>
      </c>
      <c r="V174" s="33" t="s">
        <v>204</v>
      </c>
      <c r="W174" s="152" t="s">
        <v>210</v>
      </c>
    </row>
    <row r="175" spans="1:26" x14ac:dyDescent="0.15">
      <c r="A175" s="107" t="s">
        <v>355</v>
      </c>
      <c r="B175" s="241">
        <v>0.4680555555555555</v>
      </c>
      <c r="C175" s="242">
        <v>0.47847222222222219</v>
      </c>
      <c r="D175" s="50">
        <v>15</v>
      </c>
      <c r="E175" s="50">
        <v>11</v>
      </c>
      <c r="F175" s="78">
        <f t="shared" ref="F175:F209" si="24">+E175/D175</f>
        <v>0.73333333333333328</v>
      </c>
      <c r="G175" s="188">
        <v>3</v>
      </c>
      <c r="H175" s="78">
        <f t="shared" ref="H175:H207" si="25">+G175/D175</f>
        <v>0.2</v>
      </c>
      <c r="I175" s="243">
        <v>0</v>
      </c>
      <c r="J175" s="131">
        <f t="shared" ref="J175:J207" si="26">+I175/D175</f>
        <v>0</v>
      </c>
      <c r="K175" s="50">
        <v>0</v>
      </c>
      <c r="L175" s="244">
        <f t="shared" ref="L175:L207" si="27">+K175/D175</f>
        <v>0</v>
      </c>
      <c r="M175" s="244"/>
      <c r="N175" s="50"/>
      <c r="O175" s="50"/>
      <c r="P175" s="50"/>
      <c r="Q175" s="50"/>
      <c r="R175" s="50"/>
      <c r="S175" s="50"/>
      <c r="T175" s="50"/>
      <c r="U175" s="50"/>
      <c r="V175" s="50"/>
      <c r="W175" s="83"/>
    </row>
    <row r="176" spans="1:26" x14ac:dyDescent="0.15">
      <c r="A176" s="80"/>
      <c r="B176" s="245">
        <v>0.5</v>
      </c>
      <c r="C176" s="237">
        <v>0.51041666666666663</v>
      </c>
      <c r="D176" s="14">
        <v>15</v>
      </c>
      <c r="E176" s="64">
        <v>23</v>
      </c>
      <c r="F176" s="38">
        <f t="shared" si="24"/>
        <v>1.5333333333333334</v>
      </c>
      <c r="G176" s="30">
        <v>0</v>
      </c>
      <c r="H176" s="38">
        <f t="shared" si="25"/>
        <v>0</v>
      </c>
      <c r="I176" s="30">
        <v>2</v>
      </c>
      <c r="J176" s="113">
        <f t="shared" si="26"/>
        <v>0.13333333333333333</v>
      </c>
      <c r="K176" s="14">
        <v>0</v>
      </c>
      <c r="L176" s="25">
        <f t="shared" si="27"/>
        <v>0</v>
      </c>
      <c r="M176" s="25"/>
      <c r="N176" s="14"/>
      <c r="O176" s="14"/>
      <c r="P176" s="14"/>
      <c r="Q176" s="14"/>
      <c r="R176" s="14"/>
      <c r="S176" s="64" t="s">
        <v>18</v>
      </c>
      <c r="T176" s="14"/>
      <c r="U176" s="14"/>
      <c r="V176" s="14"/>
      <c r="W176" s="136"/>
    </row>
    <row r="177" spans="1:23" x14ac:dyDescent="0.15">
      <c r="A177" s="80"/>
      <c r="B177" s="245">
        <v>0.52847222222222223</v>
      </c>
      <c r="C177" s="237">
        <v>0.53888888888888886</v>
      </c>
      <c r="D177" s="14">
        <v>15</v>
      </c>
      <c r="E177" s="14">
        <v>8</v>
      </c>
      <c r="F177" s="38">
        <f t="shared" si="24"/>
        <v>0.53333333333333333</v>
      </c>
      <c r="G177" s="30">
        <v>0</v>
      </c>
      <c r="H177" s="38">
        <f t="shared" si="25"/>
        <v>0</v>
      </c>
      <c r="I177" s="239">
        <v>0</v>
      </c>
      <c r="J177" s="113">
        <f t="shared" si="26"/>
        <v>0</v>
      </c>
      <c r="K177" s="14">
        <v>0</v>
      </c>
      <c r="L177" s="25">
        <f t="shared" si="27"/>
        <v>0</v>
      </c>
      <c r="M177" s="25"/>
      <c r="N177" s="14"/>
      <c r="O177" s="170">
        <f>SUM(D175:D177)</f>
        <v>45</v>
      </c>
      <c r="P177" s="170">
        <f>SUM(E175:E177)</f>
        <v>42</v>
      </c>
      <c r="Q177" s="38">
        <f>+P177/O177</f>
        <v>0.93333333333333335</v>
      </c>
      <c r="R177" s="170">
        <f>SUM(G175:G177)</f>
        <v>3</v>
      </c>
      <c r="S177" s="38">
        <f>+R177/O177</f>
        <v>6.6666666666666666E-2</v>
      </c>
      <c r="T177" s="170">
        <f>SUM(I175:I177)</f>
        <v>2</v>
      </c>
      <c r="U177" s="113">
        <f>+T177/O177</f>
        <v>4.4444444444444446E-2</v>
      </c>
      <c r="V177" s="170">
        <f>SUM(K175:K177)</f>
        <v>0</v>
      </c>
      <c r="W177" s="171">
        <f>+V177/O177</f>
        <v>0</v>
      </c>
    </row>
    <row r="178" spans="1:23" x14ac:dyDescent="0.15">
      <c r="A178" s="107" t="s">
        <v>358</v>
      </c>
      <c r="B178" s="245">
        <v>0.47986111111111113</v>
      </c>
      <c r="C178" s="237">
        <v>0.49027777777777781</v>
      </c>
      <c r="D178" s="30">
        <v>15</v>
      </c>
      <c r="E178" s="64">
        <v>15</v>
      </c>
      <c r="F178" s="38">
        <f t="shared" si="24"/>
        <v>1</v>
      </c>
      <c r="G178" s="64">
        <v>13</v>
      </c>
      <c r="H178" s="38">
        <f t="shared" si="25"/>
        <v>0.8666666666666667</v>
      </c>
      <c r="I178" s="14">
        <v>1</v>
      </c>
      <c r="J178" s="113">
        <f t="shared" si="26"/>
        <v>6.6666666666666666E-2</v>
      </c>
      <c r="K178" s="14">
        <v>0</v>
      </c>
      <c r="L178" s="25">
        <f t="shared" si="27"/>
        <v>0</v>
      </c>
      <c r="M178" s="25"/>
      <c r="N178" s="14"/>
      <c r="O178" s="14"/>
      <c r="P178" s="14"/>
      <c r="Q178" s="14"/>
      <c r="R178" s="14"/>
      <c r="S178" s="14"/>
      <c r="T178" s="14"/>
      <c r="U178" s="14"/>
      <c r="V178" s="14"/>
      <c r="W178" s="136"/>
    </row>
    <row r="179" spans="1:23" x14ac:dyDescent="0.15">
      <c r="A179" s="80"/>
      <c r="B179" s="245">
        <v>0.51388888888888895</v>
      </c>
      <c r="C179" s="237">
        <v>0.52430555555555558</v>
      </c>
      <c r="D179" s="238">
        <v>15</v>
      </c>
      <c r="E179" s="64">
        <v>26</v>
      </c>
      <c r="F179" s="38">
        <f t="shared" si="24"/>
        <v>1.7333333333333334</v>
      </c>
      <c r="G179" s="64">
        <v>12</v>
      </c>
      <c r="H179" s="38">
        <f t="shared" si="25"/>
        <v>0.8</v>
      </c>
      <c r="I179" s="64">
        <v>0</v>
      </c>
      <c r="J179" s="113">
        <f t="shared" si="26"/>
        <v>0</v>
      </c>
      <c r="K179" s="14">
        <v>0</v>
      </c>
      <c r="L179" s="25">
        <f t="shared" si="27"/>
        <v>0</v>
      </c>
      <c r="M179" s="25"/>
      <c r="N179" s="64" t="s">
        <v>18</v>
      </c>
      <c r="O179" s="64" t="s">
        <v>18</v>
      </c>
      <c r="P179" s="14"/>
      <c r="Q179" s="14"/>
      <c r="R179" s="14"/>
      <c r="S179" s="14"/>
      <c r="T179" s="14"/>
      <c r="U179" s="14"/>
      <c r="V179" s="14"/>
      <c r="W179" s="136"/>
    </row>
    <row r="180" spans="1:23" x14ac:dyDescent="0.15">
      <c r="A180" s="80"/>
      <c r="B180" s="245">
        <v>0.54097222222222219</v>
      </c>
      <c r="C180" s="237">
        <v>0.55138888888888882</v>
      </c>
      <c r="D180" s="238">
        <v>15</v>
      </c>
      <c r="E180" s="14">
        <v>19</v>
      </c>
      <c r="F180" s="38">
        <f t="shared" si="24"/>
        <v>1.2666666666666666</v>
      </c>
      <c r="G180" s="14">
        <v>14</v>
      </c>
      <c r="H180" s="38">
        <f t="shared" si="25"/>
        <v>0.93333333333333335</v>
      </c>
      <c r="I180" s="64">
        <v>1</v>
      </c>
      <c r="J180" s="113">
        <f t="shared" si="26"/>
        <v>6.6666666666666666E-2</v>
      </c>
      <c r="K180" s="14">
        <v>1</v>
      </c>
      <c r="L180" s="25">
        <f t="shared" si="27"/>
        <v>6.6666666666666666E-2</v>
      </c>
      <c r="M180" s="25"/>
      <c r="N180" s="14"/>
      <c r="O180" s="170">
        <f>SUM(D178:D180)</f>
        <v>45</v>
      </c>
      <c r="P180" s="170">
        <f>SUM(E178:E180)</f>
        <v>60</v>
      </c>
      <c r="Q180" s="38">
        <f>+P180/O180</f>
        <v>1.3333333333333333</v>
      </c>
      <c r="R180" s="170">
        <f>SUM(G178:G180)</f>
        <v>39</v>
      </c>
      <c r="S180" s="38">
        <f>+R180/O180</f>
        <v>0.8666666666666667</v>
      </c>
      <c r="T180" s="170">
        <f>SUM(I178:I180)</f>
        <v>2</v>
      </c>
      <c r="U180" s="113">
        <f>+T180/O180</f>
        <v>4.4444444444444446E-2</v>
      </c>
      <c r="V180" s="170">
        <f>SUM(K178:K180)</f>
        <v>1</v>
      </c>
      <c r="W180" s="171">
        <f>+V180/O180</f>
        <v>2.2222222222222223E-2</v>
      </c>
    </row>
    <row r="181" spans="1:23" x14ac:dyDescent="0.15">
      <c r="A181" s="107" t="s">
        <v>359</v>
      </c>
      <c r="B181" s="245">
        <v>0.46527777777777773</v>
      </c>
      <c r="C181" s="237">
        <v>0.47569444444444442</v>
      </c>
      <c r="D181" s="238">
        <v>15</v>
      </c>
      <c r="E181" s="64">
        <v>30</v>
      </c>
      <c r="F181" s="38">
        <f t="shared" si="24"/>
        <v>2</v>
      </c>
      <c r="G181" s="64">
        <v>17</v>
      </c>
      <c r="H181" s="38">
        <f t="shared" si="25"/>
        <v>1.1333333333333333</v>
      </c>
      <c r="I181" s="64">
        <v>0</v>
      </c>
      <c r="J181" s="113">
        <f t="shared" si="26"/>
        <v>0</v>
      </c>
      <c r="K181" s="64">
        <v>0</v>
      </c>
      <c r="L181" s="25">
        <f t="shared" si="27"/>
        <v>0</v>
      </c>
      <c r="M181" s="25"/>
      <c r="N181" s="64" t="s">
        <v>18</v>
      </c>
      <c r="O181" s="14"/>
      <c r="P181" s="14"/>
      <c r="Q181" s="14"/>
      <c r="R181" s="14"/>
      <c r="S181" s="14"/>
      <c r="T181" s="64" t="s">
        <v>18</v>
      </c>
      <c r="U181" s="14"/>
      <c r="V181" s="14"/>
      <c r="W181" s="136"/>
    </row>
    <row r="182" spans="1:23" x14ac:dyDescent="0.15">
      <c r="A182" s="80"/>
      <c r="B182" s="245">
        <v>0.4909722222222222</v>
      </c>
      <c r="C182" s="237">
        <v>0.50138888888888888</v>
      </c>
      <c r="D182" s="238">
        <v>15</v>
      </c>
      <c r="E182" s="14">
        <v>57</v>
      </c>
      <c r="F182" s="38">
        <f t="shared" si="24"/>
        <v>3.8</v>
      </c>
      <c r="G182" s="14">
        <v>42</v>
      </c>
      <c r="H182" s="38">
        <f t="shared" si="25"/>
        <v>2.8</v>
      </c>
      <c r="I182" s="14">
        <v>2</v>
      </c>
      <c r="J182" s="113">
        <f t="shared" si="26"/>
        <v>0.13333333333333333</v>
      </c>
      <c r="K182" s="14">
        <v>0</v>
      </c>
      <c r="L182" s="25">
        <f t="shared" si="27"/>
        <v>0</v>
      </c>
      <c r="M182" s="25"/>
      <c r="N182" s="14"/>
      <c r="O182" s="14"/>
      <c r="P182" s="14"/>
      <c r="Q182" s="14"/>
      <c r="R182" s="14"/>
      <c r="S182" s="64" t="s">
        <v>18</v>
      </c>
      <c r="T182" s="14"/>
      <c r="U182" s="14"/>
      <c r="V182" s="14"/>
      <c r="W182" s="136"/>
    </row>
    <row r="183" spans="1:23" x14ac:dyDescent="0.15">
      <c r="A183" s="80"/>
      <c r="B183" s="245">
        <v>0.52500000000000002</v>
      </c>
      <c r="C183" s="237">
        <v>0.53541666666666665</v>
      </c>
      <c r="D183" s="238">
        <v>15</v>
      </c>
      <c r="E183" s="14">
        <v>74</v>
      </c>
      <c r="F183" s="38">
        <f t="shared" si="24"/>
        <v>4.9333333333333336</v>
      </c>
      <c r="G183" s="14">
        <v>61</v>
      </c>
      <c r="H183" s="38">
        <f t="shared" si="25"/>
        <v>4.0666666666666664</v>
      </c>
      <c r="I183" s="14">
        <v>3</v>
      </c>
      <c r="J183" s="113">
        <f t="shared" si="26"/>
        <v>0.2</v>
      </c>
      <c r="K183" s="14">
        <v>0</v>
      </c>
      <c r="L183" s="25">
        <f t="shared" si="27"/>
        <v>0</v>
      </c>
      <c r="M183" s="25"/>
      <c r="N183" s="14"/>
      <c r="O183" s="170">
        <f>SUM(D181:D183)</f>
        <v>45</v>
      </c>
      <c r="P183" s="170">
        <f>SUM(E181:E183)</f>
        <v>161</v>
      </c>
      <c r="Q183" s="38">
        <f>+P183/O183</f>
        <v>3.5777777777777779</v>
      </c>
      <c r="R183" s="170">
        <f>SUM(G181:G183)</f>
        <v>120</v>
      </c>
      <c r="S183" s="38">
        <f>+R183/O183</f>
        <v>2.6666666666666665</v>
      </c>
      <c r="T183" s="170">
        <f>SUM(I181:I183)</f>
        <v>5</v>
      </c>
      <c r="U183" s="113">
        <f>+T183/O183</f>
        <v>0.1111111111111111</v>
      </c>
      <c r="V183" s="170">
        <f>SUM(K181:K183)</f>
        <v>0</v>
      </c>
      <c r="W183" s="171">
        <f>+V183/O183</f>
        <v>0</v>
      </c>
    </row>
    <row r="184" spans="1:23" x14ac:dyDescent="0.15">
      <c r="A184" s="107" t="s">
        <v>360</v>
      </c>
      <c r="B184" s="245">
        <v>0.4770833333333333</v>
      </c>
      <c r="C184" s="246">
        <v>0.48749999999999999</v>
      </c>
      <c r="D184" s="238">
        <v>15</v>
      </c>
      <c r="E184" s="64">
        <v>3</v>
      </c>
      <c r="F184" s="38">
        <f t="shared" si="24"/>
        <v>0.2</v>
      </c>
      <c r="G184" s="64">
        <v>15</v>
      </c>
      <c r="H184" s="38">
        <f t="shared" si="25"/>
        <v>1</v>
      </c>
      <c r="I184" s="64">
        <v>1</v>
      </c>
      <c r="J184" s="113">
        <f t="shared" si="26"/>
        <v>6.6666666666666666E-2</v>
      </c>
      <c r="K184" s="64">
        <v>0</v>
      </c>
      <c r="L184" s="25">
        <f t="shared" si="27"/>
        <v>0</v>
      </c>
      <c r="M184" s="25"/>
      <c r="N184" s="14"/>
      <c r="O184" s="14"/>
      <c r="P184" s="14"/>
      <c r="Q184" s="14"/>
      <c r="R184" s="14"/>
      <c r="S184" s="14"/>
      <c r="T184" s="14"/>
      <c r="U184" s="14"/>
      <c r="V184" s="14"/>
      <c r="W184" s="136"/>
    </row>
    <row r="185" spans="1:23" x14ac:dyDescent="0.15">
      <c r="A185" s="80"/>
      <c r="B185" s="245">
        <v>0.50347222222222221</v>
      </c>
      <c r="C185" s="237">
        <v>0.51388888888888895</v>
      </c>
      <c r="D185" s="238">
        <v>15</v>
      </c>
      <c r="E185" s="14">
        <v>14</v>
      </c>
      <c r="F185" s="38">
        <f t="shared" si="24"/>
        <v>0.93333333333333335</v>
      </c>
      <c r="G185" s="14">
        <v>2</v>
      </c>
      <c r="H185" s="38">
        <f t="shared" si="25"/>
        <v>0.13333333333333333</v>
      </c>
      <c r="I185" s="14">
        <v>3</v>
      </c>
      <c r="J185" s="113">
        <f t="shared" si="26"/>
        <v>0.2</v>
      </c>
      <c r="K185" s="14">
        <v>1</v>
      </c>
      <c r="L185" s="25">
        <f t="shared" si="27"/>
        <v>6.6666666666666666E-2</v>
      </c>
      <c r="M185" s="25"/>
      <c r="N185" s="14"/>
      <c r="O185" s="14"/>
      <c r="P185" s="14"/>
      <c r="Q185" s="14"/>
      <c r="R185" s="14"/>
      <c r="S185" s="14"/>
      <c r="T185" s="14"/>
      <c r="U185" s="14"/>
      <c r="V185" s="14"/>
      <c r="W185" s="136"/>
    </row>
    <row r="186" spans="1:23" x14ac:dyDescent="0.15">
      <c r="A186" s="80"/>
      <c r="B186" s="245">
        <v>0.53680555555555554</v>
      </c>
      <c r="C186" s="237">
        <v>0.54722222222222217</v>
      </c>
      <c r="D186" s="238">
        <v>15</v>
      </c>
      <c r="E186" s="14">
        <v>12</v>
      </c>
      <c r="F186" s="38">
        <f t="shared" si="24"/>
        <v>0.8</v>
      </c>
      <c r="G186" s="14">
        <v>7</v>
      </c>
      <c r="H186" s="38">
        <f t="shared" si="25"/>
        <v>0.46666666666666667</v>
      </c>
      <c r="I186" s="14">
        <v>0</v>
      </c>
      <c r="J186" s="113">
        <f t="shared" si="26"/>
        <v>0</v>
      </c>
      <c r="K186" s="14">
        <v>0</v>
      </c>
      <c r="L186" s="25">
        <f t="shared" si="27"/>
        <v>0</v>
      </c>
      <c r="M186" s="25"/>
      <c r="N186" s="14"/>
      <c r="O186" s="170">
        <f>SUM(D184:D186)</f>
        <v>45</v>
      </c>
      <c r="P186" s="170">
        <f>SUM(E184:E186)</f>
        <v>29</v>
      </c>
      <c r="Q186" s="38">
        <f>+P186/O186</f>
        <v>0.64444444444444449</v>
      </c>
      <c r="R186" s="170">
        <f>SUM(G184:G186)</f>
        <v>24</v>
      </c>
      <c r="S186" s="38">
        <f>+R186/O186</f>
        <v>0.53333333333333333</v>
      </c>
      <c r="T186" s="170">
        <f>SUM(I184:I186)</f>
        <v>4</v>
      </c>
      <c r="U186" s="113">
        <f>+T186/O186</f>
        <v>8.8888888888888892E-2</v>
      </c>
      <c r="V186" s="170">
        <f>SUM(K184:K186)</f>
        <v>1</v>
      </c>
      <c r="W186" s="171">
        <f>+V186/O186</f>
        <v>2.2222222222222223E-2</v>
      </c>
    </row>
    <row r="187" spans="1:23" x14ac:dyDescent="0.15">
      <c r="A187" s="107" t="s">
        <v>354</v>
      </c>
      <c r="B187" s="245">
        <v>0.48888888888888887</v>
      </c>
      <c r="C187" s="237">
        <v>0.4993055555555555</v>
      </c>
      <c r="D187" s="238">
        <v>15</v>
      </c>
      <c r="E187" s="14">
        <v>11</v>
      </c>
      <c r="F187" s="38">
        <f t="shared" si="24"/>
        <v>0.73333333333333328</v>
      </c>
      <c r="G187" s="14">
        <v>0</v>
      </c>
      <c r="H187" s="38">
        <f t="shared" si="25"/>
        <v>0</v>
      </c>
      <c r="I187" s="14">
        <v>0</v>
      </c>
      <c r="J187" s="113">
        <f t="shared" si="26"/>
        <v>0</v>
      </c>
      <c r="K187" s="14">
        <v>0</v>
      </c>
      <c r="L187" s="25">
        <f t="shared" si="27"/>
        <v>0</v>
      </c>
      <c r="M187" s="25"/>
      <c r="N187" s="14"/>
      <c r="O187" s="14"/>
      <c r="P187" s="14"/>
      <c r="Q187" s="14"/>
      <c r="R187" s="14"/>
      <c r="S187" s="14"/>
      <c r="T187" s="14"/>
      <c r="U187" s="14"/>
      <c r="V187" s="14"/>
      <c r="W187" s="136"/>
    </row>
    <row r="188" spans="1:23" x14ac:dyDescent="0.15">
      <c r="A188" s="80"/>
      <c r="B188" s="245">
        <v>0.51736111111111105</v>
      </c>
      <c r="C188" s="237">
        <v>0.52777777777777779</v>
      </c>
      <c r="D188" s="238">
        <v>15</v>
      </c>
      <c r="E188" s="14">
        <v>4</v>
      </c>
      <c r="F188" s="38">
        <f t="shared" si="24"/>
        <v>0.26666666666666666</v>
      </c>
      <c r="G188" s="14">
        <v>2</v>
      </c>
      <c r="H188" s="38">
        <f t="shared" si="25"/>
        <v>0.13333333333333333</v>
      </c>
      <c r="I188" s="14">
        <v>0</v>
      </c>
      <c r="J188" s="113">
        <f t="shared" si="26"/>
        <v>0</v>
      </c>
      <c r="K188" s="14">
        <v>0</v>
      </c>
      <c r="L188" s="25">
        <f t="shared" si="27"/>
        <v>0</v>
      </c>
      <c r="M188" s="25"/>
      <c r="N188" s="14"/>
      <c r="O188" s="14"/>
      <c r="P188" s="14"/>
      <c r="Q188" s="14"/>
      <c r="R188" s="14"/>
      <c r="S188" s="14"/>
      <c r="T188" s="14"/>
      <c r="U188" s="14"/>
      <c r="V188" s="14"/>
      <c r="W188" s="136"/>
    </row>
    <row r="189" spans="1:23" ht="14" thickBot="1" x14ac:dyDescent="0.2">
      <c r="A189" s="80"/>
      <c r="B189" s="245">
        <v>0.54861111111111105</v>
      </c>
      <c r="C189" s="237">
        <v>0.55902777777777779</v>
      </c>
      <c r="D189" s="238">
        <v>15</v>
      </c>
      <c r="E189" s="14">
        <v>7</v>
      </c>
      <c r="F189" s="38">
        <f t="shared" si="24"/>
        <v>0.46666666666666667</v>
      </c>
      <c r="G189" s="14">
        <v>3</v>
      </c>
      <c r="H189" s="38">
        <f t="shared" si="25"/>
        <v>0.2</v>
      </c>
      <c r="I189" s="14">
        <v>4</v>
      </c>
      <c r="J189" s="113">
        <f t="shared" si="26"/>
        <v>0.26666666666666666</v>
      </c>
      <c r="K189" s="14">
        <v>1</v>
      </c>
      <c r="L189" s="25">
        <f t="shared" si="27"/>
        <v>6.6666666666666666E-2</v>
      </c>
      <c r="M189" s="25"/>
      <c r="N189" s="14"/>
      <c r="O189" s="170">
        <f>SUM(D187:D189)</f>
        <v>45</v>
      </c>
      <c r="P189" s="170">
        <f>SUM(E187:E189)</f>
        <v>22</v>
      </c>
      <c r="Q189" s="38">
        <f>+P189/O189</f>
        <v>0.48888888888888887</v>
      </c>
      <c r="R189" s="170">
        <f>SUM(G187:G189)</f>
        <v>5</v>
      </c>
      <c r="S189" s="38">
        <f>+R189/O189</f>
        <v>0.1111111111111111</v>
      </c>
      <c r="T189" s="170">
        <f>SUM(I187:I189)</f>
        <v>4</v>
      </c>
      <c r="U189" s="113">
        <f>+T189/O189</f>
        <v>8.8888888888888892E-2</v>
      </c>
      <c r="V189" s="170">
        <f>SUM(K187:K189)</f>
        <v>1</v>
      </c>
      <c r="W189" s="171">
        <f>+V189/O189</f>
        <v>2.2222222222222223E-2</v>
      </c>
    </row>
    <row r="190" spans="1:23" ht="14" thickBot="1" x14ac:dyDescent="0.2">
      <c r="A190" s="503" t="s">
        <v>217</v>
      </c>
      <c r="B190" s="80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42" t="s">
        <v>214</v>
      </c>
      <c r="O190" s="98">
        <f>SUM(O175:O189)</f>
        <v>225</v>
      </c>
      <c r="P190" s="98">
        <f t="shared" ref="P190:V190" si="28">SUM(P175:P189)</f>
        <v>314</v>
      </c>
      <c r="Q190" s="102">
        <f>+P190/O190</f>
        <v>1.3955555555555557</v>
      </c>
      <c r="R190" s="98">
        <f t="shared" si="28"/>
        <v>191</v>
      </c>
      <c r="S190" s="102">
        <f>+R190/O190</f>
        <v>0.84888888888888892</v>
      </c>
      <c r="T190" s="98">
        <f t="shared" si="28"/>
        <v>17</v>
      </c>
      <c r="U190" s="102">
        <f>+T190/O190</f>
        <v>7.5555555555555556E-2</v>
      </c>
      <c r="V190" s="98">
        <f t="shared" si="28"/>
        <v>3</v>
      </c>
      <c r="W190" s="294">
        <f>+V190/O190</f>
        <v>1.3333333333333334E-2</v>
      </c>
    </row>
    <row r="191" spans="1:23" x14ac:dyDescent="0.15">
      <c r="A191" s="107" t="s">
        <v>355</v>
      </c>
      <c r="B191" s="247" t="s">
        <v>361</v>
      </c>
      <c r="C191" s="246">
        <v>0.67847222222222225</v>
      </c>
      <c r="D191" s="14">
        <v>15</v>
      </c>
      <c r="E191" s="14">
        <v>10</v>
      </c>
      <c r="F191" s="38">
        <f t="shared" si="24"/>
        <v>0.66666666666666663</v>
      </c>
      <c r="G191" s="14">
        <v>1</v>
      </c>
      <c r="H191" s="38">
        <f t="shared" si="25"/>
        <v>6.6666666666666666E-2</v>
      </c>
      <c r="I191" s="14">
        <v>1</v>
      </c>
      <c r="J191" s="113">
        <f t="shared" si="26"/>
        <v>6.6666666666666666E-2</v>
      </c>
      <c r="K191" s="14">
        <v>0</v>
      </c>
      <c r="L191" s="25">
        <f t="shared" si="27"/>
        <v>0</v>
      </c>
      <c r="M191" s="25"/>
      <c r="N191" s="14"/>
      <c r="O191" s="14"/>
      <c r="P191" s="14"/>
      <c r="Q191" s="64" t="s">
        <v>18</v>
      </c>
      <c r="R191" s="14"/>
      <c r="S191" s="14"/>
      <c r="T191" s="14"/>
      <c r="U191" s="14"/>
      <c r="V191" s="14"/>
      <c r="W191" s="136"/>
    </row>
    <row r="192" spans="1:23" x14ac:dyDescent="0.15">
      <c r="A192" s="80"/>
      <c r="B192" s="248">
        <v>0.70138888888888884</v>
      </c>
      <c r="C192" s="249">
        <v>0.71180555555555547</v>
      </c>
      <c r="D192" s="14">
        <v>15</v>
      </c>
      <c r="E192" s="64">
        <v>9</v>
      </c>
      <c r="F192" s="38">
        <f t="shared" si="24"/>
        <v>0.6</v>
      </c>
      <c r="G192" s="64">
        <v>1</v>
      </c>
      <c r="H192" s="38">
        <f t="shared" si="25"/>
        <v>6.6666666666666666E-2</v>
      </c>
      <c r="I192" s="64">
        <v>0</v>
      </c>
      <c r="J192" s="113">
        <f t="shared" si="26"/>
        <v>0</v>
      </c>
      <c r="K192" s="64">
        <v>0</v>
      </c>
      <c r="L192" s="25">
        <f t="shared" si="27"/>
        <v>0</v>
      </c>
      <c r="M192" s="25"/>
      <c r="N192" s="14"/>
      <c r="O192" s="14"/>
      <c r="P192" s="14"/>
      <c r="Q192" s="14"/>
      <c r="R192" s="14"/>
      <c r="S192" s="14"/>
      <c r="T192" s="14"/>
      <c r="U192" s="14"/>
      <c r="V192" s="14"/>
      <c r="W192" s="136"/>
    </row>
    <row r="193" spans="1:25" x14ac:dyDescent="0.15">
      <c r="A193" s="80"/>
      <c r="B193" s="248">
        <v>0.73263888888888884</v>
      </c>
      <c r="C193" s="249">
        <v>0.74305555555555547</v>
      </c>
      <c r="D193" s="14">
        <v>15</v>
      </c>
      <c r="E193" s="14">
        <v>15</v>
      </c>
      <c r="F193" s="38">
        <f t="shared" si="24"/>
        <v>1</v>
      </c>
      <c r="G193" s="14">
        <v>2</v>
      </c>
      <c r="H193" s="38">
        <f t="shared" si="25"/>
        <v>0.13333333333333333</v>
      </c>
      <c r="I193" s="14">
        <v>0</v>
      </c>
      <c r="J193" s="113">
        <f t="shared" si="26"/>
        <v>0</v>
      </c>
      <c r="K193" s="14">
        <v>0</v>
      </c>
      <c r="L193" s="25">
        <f t="shared" si="27"/>
        <v>0</v>
      </c>
      <c r="M193" s="25"/>
      <c r="N193" s="14"/>
      <c r="O193" s="14"/>
      <c r="P193" s="14"/>
      <c r="Q193" s="14"/>
      <c r="R193" s="64" t="s">
        <v>18</v>
      </c>
      <c r="S193" s="14"/>
      <c r="T193" s="14"/>
      <c r="U193" s="14"/>
      <c r="V193" s="14"/>
      <c r="W193" s="136"/>
    </row>
    <row r="194" spans="1:25" x14ac:dyDescent="0.15">
      <c r="A194" s="80"/>
      <c r="B194" s="248">
        <v>0.75763888888888886</v>
      </c>
      <c r="C194" s="249">
        <v>0.76736111111111116</v>
      </c>
      <c r="D194" s="14">
        <v>14</v>
      </c>
      <c r="E194" s="14">
        <v>14</v>
      </c>
      <c r="F194" s="38">
        <f t="shared" si="24"/>
        <v>1</v>
      </c>
      <c r="G194" s="14">
        <v>1</v>
      </c>
      <c r="H194" s="38">
        <f t="shared" si="25"/>
        <v>7.1428571428571425E-2</v>
      </c>
      <c r="I194" s="14">
        <v>4</v>
      </c>
      <c r="J194" s="113">
        <f t="shared" si="26"/>
        <v>0.2857142857142857</v>
      </c>
      <c r="K194" s="14">
        <v>0</v>
      </c>
      <c r="L194" s="25">
        <f t="shared" si="27"/>
        <v>0</v>
      </c>
      <c r="M194" s="25"/>
      <c r="N194" s="14"/>
      <c r="O194" s="170">
        <f>SUM(D191:D194)</f>
        <v>59</v>
      </c>
      <c r="P194" s="170">
        <f>SUM(E191:E194)</f>
        <v>48</v>
      </c>
      <c r="Q194" s="38">
        <f>+P194/O194</f>
        <v>0.81355932203389836</v>
      </c>
      <c r="R194" s="170">
        <f>SUM(G191:G194)</f>
        <v>5</v>
      </c>
      <c r="S194" s="38">
        <f>+R194/O194</f>
        <v>8.4745762711864403E-2</v>
      </c>
      <c r="T194" s="170">
        <f>SUM(I191:I194)</f>
        <v>5</v>
      </c>
      <c r="U194" s="113">
        <f>+T194/O194</f>
        <v>8.4745762711864403E-2</v>
      </c>
      <c r="V194" s="170">
        <f>SUM(K191:K194)</f>
        <v>0</v>
      </c>
      <c r="W194" s="171">
        <f>+V194/O194</f>
        <v>0</v>
      </c>
    </row>
    <row r="195" spans="1:25" x14ac:dyDescent="0.15">
      <c r="A195" s="107" t="s">
        <v>358</v>
      </c>
      <c r="B195" s="247">
        <v>0.68125000000000002</v>
      </c>
      <c r="C195" s="246">
        <v>0.69166666666666676</v>
      </c>
      <c r="D195" s="14">
        <v>15</v>
      </c>
      <c r="E195" s="14">
        <v>21</v>
      </c>
      <c r="F195" s="38">
        <f t="shared" si="24"/>
        <v>1.4</v>
      </c>
      <c r="G195" s="14">
        <v>10</v>
      </c>
      <c r="H195" s="38">
        <f t="shared" si="25"/>
        <v>0.66666666666666663</v>
      </c>
      <c r="I195" s="14">
        <v>1</v>
      </c>
      <c r="J195" s="113">
        <f t="shared" si="26"/>
        <v>6.6666666666666666E-2</v>
      </c>
      <c r="K195" s="14">
        <v>2</v>
      </c>
      <c r="L195" s="25">
        <f t="shared" si="27"/>
        <v>0.13333333333333333</v>
      </c>
      <c r="M195" s="25"/>
      <c r="N195" s="64" t="s">
        <v>18</v>
      </c>
      <c r="O195" s="64" t="s">
        <v>18</v>
      </c>
      <c r="P195" s="14"/>
      <c r="Q195" s="14"/>
      <c r="R195" s="14"/>
      <c r="S195" s="14"/>
      <c r="T195" s="14"/>
      <c r="U195" s="14"/>
      <c r="V195" s="14"/>
      <c r="W195" s="136"/>
    </row>
    <row r="196" spans="1:25" x14ac:dyDescent="0.15">
      <c r="A196" s="80"/>
      <c r="B196" s="248">
        <v>0.71250000000000002</v>
      </c>
      <c r="C196" s="249">
        <v>0.72291666666666676</v>
      </c>
      <c r="D196" s="14">
        <v>15</v>
      </c>
      <c r="E196" s="14">
        <v>12</v>
      </c>
      <c r="F196" s="38">
        <f t="shared" si="24"/>
        <v>0.8</v>
      </c>
      <c r="G196" s="14">
        <v>7</v>
      </c>
      <c r="H196" s="38">
        <f t="shared" si="25"/>
        <v>0.46666666666666667</v>
      </c>
      <c r="I196" s="14">
        <v>2</v>
      </c>
      <c r="J196" s="113">
        <f t="shared" si="26"/>
        <v>0.13333333333333333</v>
      </c>
      <c r="K196" s="14">
        <v>0</v>
      </c>
      <c r="L196" s="25">
        <f t="shared" si="27"/>
        <v>0</v>
      </c>
      <c r="M196" s="25"/>
      <c r="N196" s="14"/>
      <c r="O196" s="14"/>
      <c r="P196" s="14"/>
      <c r="Q196" s="14"/>
      <c r="R196" s="14"/>
      <c r="S196" s="14"/>
      <c r="T196" s="14"/>
      <c r="U196" s="14"/>
      <c r="V196" s="14"/>
      <c r="W196" s="136"/>
    </row>
    <row r="197" spans="1:25" x14ac:dyDescent="0.15">
      <c r="A197" s="80"/>
      <c r="B197" s="248">
        <v>0.74513888888888891</v>
      </c>
      <c r="C197" s="249">
        <v>0.75555555555555554</v>
      </c>
      <c r="D197" s="14">
        <v>15</v>
      </c>
      <c r="E197" s="14">
        <v>28</v>
      </c>
      <c r="F197" s="38">
        <f t="shared" si="24"/>
        <v>1.8666666666666667</v>
      </c>
      <c r="G197" s="14">
        <v>14</v>
      </c>
      <c r="H197" s="38">
        <f t="shared" si="25"/>
        <v>0.93333333333333335</v>
      </c>
      <c r="I197" s="14">
        <v>4</v>
      </c>
      <c r="J197" s="113">
        <f t="shared" si="26"/>
        <v>0.26666666666666666</v>
      </c>
      <c r="K197" s="14">
        <v>2</v>
      </c>
      <c r="L197" s="25">
        <f t="shared" si="27"/>
        <v>0.13333333333333333</v>
      </c>
      <c r="M197" s="25"/>
      <c r="N197" s="64" t="s">
        <v>18</v>
      </c>
      <c r="O197" s="170">
        <f>SUM(D195:D197)</f>
        <v>45</v>
      </c>
      <c r="P197" s="170">
        <f>SUM(E195:E197)</f>
        <v>61</v>
      </c>
      <c r="Q197" s="38">
        <f>+P197/O197</f>
        <v>1.3555555555555556</v>
      </c>
      <c r="R197" s="170">
        <f>SUM(G195:G197)</f>
        <v>31</v>
      </c>
      <c r="S197" s="38">
        <f>+R197/O197</f>
        <v>0.68888888888888888</v>
      </c>
      <c r="T197" s="170">
        <f>SUM(I195:I197)</f>
        <v>7</v>
      </c>
      <c r="U197" s="113">
        <f>+T197/O197</f>
        <v>0.15555555555555556</v>
      </c>
      <c r="V197" s="170">
        <f>SUM(K195:K197)</f>
        <v>4</v>
      </c>
      <c r="W197" s="171">
        <f>+V197/O197</f>
        <v>8.8888888888888892E-2</v>
      </c>
    </row>
    <row r="198" spans="1:25" x14ac:dyDescent="0.15">
      <c r="A198" s="107" t="s">
        <v>359</v>
      </c>
      <c r="B198" s="248">
        <v>0.66666666666666663</v>
      </c>
      <c r="C198" s="249">
        <v>0.67708333333333337</v>
      </c>
      <c r="D198" s="14">
        <v>15</v>
      </c>
      <c r="E198" s="14">
        <v>65</v>
      </c>
      <c r="F198" s="38">
        <f t="shared" si="24"/>
        <v>4.333333333333333</v>
      </c>
      <c r="G198" s="14">
        <v>10</v>
      </c>
      <c r="H198" s="38">
        <f t="shared" si="25"/>
        <v>0.66666666666666663</v>
      </c>
      <c r="I198" s="14">
        <v>0</v>
      </c>
      <c r="J198" s="113">
        <f t="shared" si="26"/>
        <v>0</v>
      </c>
      <c r="K198" s="14">
        <v>0</v>
      </c>
      <c r="L198" s="25">
        <f t="shared" si="27"/>
        <v>0</v>
      </c>
      <c r="M198" s="25"/>
      <c r="N198" s="14"/>
      <c r="O198" s="14"/>
      <c r="P198" s="14"/>
      <c r="Q198" s="14"/>
      <c r="R198" s="14"/>
      <c r="S198" s="14"/>
      <c r="T198" s="14"/>
      <c r="U198" s="14"/>
      <c r="V198" s="14"/>
      <c r="W198" s="136"/>
    </row>
    <row r="199" spans="1:25" x14ac:dyDescent="0.15">
      <c r="A199" s="80"/>
      <c r="B199" s="248">
        <v>0.69305555555555554</v>
      </c>
      <c r="C199" s="249">
        <v>0.70347222222222217</v>
      </c>
      <c r="D199" s="14">
        <v>15</v>
      </c>
      <c r="E199" s="14">
        <v>38</v>
      </c>
      <c r="F199" s="38">
        <f t="shared" si="24"/>
        <v>2.5333333333333332</v>
      </c>
      <c r="G199" s="14">
        <v>21</v>
      </c>
      <c r="H199" s="38">
        <f t="shared" si="25"/>
        <v>1.4</v>
      </c>
      <c r="I199" s="14">
        <v>2</v>
      </c>
      <c r="J199" s="113">
        <f t="shared" si="26"/>
        <v>0.13333333333333333</v>
      </c>
      <c r="K199" s="14">
        <v>2</v>
      </c>
      <c r="L199" s="25">
        <f t="shared" si="27"/>
        <v>0.13333333333333333</v>
      </c>
      <c r="M199" s="25"/>
      <c r="N199" s="14"/>
      <c r="O199" s="14"/>
      <c r="P199" s="14"/>
      <c r="Q199" s="14"/>
      <c r="R199" s="14"/>
      <c r="S199" s="14"/>
      <c r="T199" s="14"/>
      <c r="U199" s="14"/>
      <c r="V199" s="14"/>
      <c r="W199" s="136"/>
    </row>
    <row r="200" spans="1:25" x14ac:dyDescent="0.15">
      <c r="A200" s="80"/>
      <c r="B200" s="248">
        <v>0.72361111111111109</v>
      </c>
      <c r="C200" s="249">
        <v>0.73402777777777783</v>
      </c>
      <c r="D200" s="14">
        <v>15</v>
      </c>
      <c r="E200" s="14">
        <v>39</v>
      </c>
      <c r="F200" s="38">
        <f t="shared" si="24"/>
        <v>2.6</v>
      </c>
      <c r="G200" s="14">
        <v>33</v>
      </c>
      <c r="H200" s="38">
        <f t="shared" si="25"/>
        <v>2.2000000000000002</v>
      </c>
      <c r="I200" s="14">
        <v>0</v>
      </c>
      <c r="J200" s="113">
        <f t="shared" si="26"/>
        <v>0</v>
      </c>
      <c r="K200" s="14">
        <v>0</v>
      </c>
      <c r="L200" s="25">
        <f t="shared" si="27"/>
        <v>0</v>
      </c>
      <c r="M200" s="25"/>
      <c r="N200" s="14"/>
      <c r="O200" s="170">
        <f>SUM(D198:D200)</f>
        <v>45</v>
      </c>
      <c r="P200" s="170">
        <f>SUM(E198:E200)</f>
        <v>142</v>
      </c>
      <c r="Q200" s="38">
        <f>+P200/O200</f>
        <v>3.1555555555555554</v>
      </c>
      <c r="R200" s="170">
        <f>SUM(G198:G200)</f>
        <v>64</v>
      </c>
      <c r="S200" s="38">
        <f>+R200/O200</f>
        <v>1.4222222222222223</v>
      </c>
      <c r="T200" s="170">
        <f>SUM(I198:I200)</f>
        <v>2</v>
      </c>
      <c r="U200" s="113">
        <f>+T200/O200</f>
        <v>4.4444444444444446E-2</v>
      </c>
      <c r="V200" s="170">
        <f>SUM(K198:K200)</f>
        <v>2</v>
      </c>
      <c r="W200" s="171">
        <f>+V200/O200</f>
        <v>4.4444444444444446E-2</v>
      </c>
    </row>
    <row r="201" spans="1:25" x14ac:dyDescent="0.15">
      <c r="A201" s="107" t="s">
        <v>360</v>
      </c>
      <c r="B201" s="248">
        <v>0.67847222222222225</v>
      </c>
      <c r="C201" s="249">
        <v>0.68888888888888899</v>
      </c>
      <c r="D201" s="14">
        <v>15</v>
      </c>
      <c r="E201" s="14">
        <v>10</v>
      </c>
      <c r="F201" s="38">
        <f t="shared" si="24"/>
        <v>0.66666666666666663</v>
      </c>
      <c r="G201" s="14">
        <v>8</v>
      </c>
      <c r="H201" s="38">
        <f t="shared" si="25"/>
        <v>0.53333333333333333</v>
      </c>
      <c r="I201" s="14">
        <v>0</v>
      </c>
      <c r="J201" s="113">
        <f t="shared" si="26"/>
        <v>0</v>
      </c>
      <c r="K201" s="14">
        <v>1</v>
      </c>
      <c r="L201" s="25">
        <f t="shared" si="27"/>
        <v>6.6666666666666666E-2</v>
      </c>
      <c r="M201" s="25"/>
      <c r="N201" s="14"/>
      <c r="O201" s="14"/>
      <c r="P201" s="14"/>
      <c r="Q201" s="14"/>
      <c r="R201" s="14"/>
      <c r="S201" s="14"/>
      <c r="T201" s="14"/>
      <c r="U201" s="14"/>
      <c r="V201" s="14"/>
      <c r="W201" s="136"/>
    </row>
    <row r="202" spans="1:25" x14ac:dyDescent="0.15">
      <c r="A202" s="80"/>
      <c r="B202" s="248">
        <v>0.70694444444444438</v>
      </c>
      <c r="C202" s="249">
        <v>0.71736111111111101</v>
      </c>
      <c r="D202" s="14">
        <v>15</v>
      </c>
      <c r="E202" s="14">
        <v>23</v>
      </c>
      <c r="F202" s="38">
        <f t="shared" si="24"/>
        <v>1.5333333333333334</v>
      </c>
      <c r="G202" s="14">
        <v>14</v>
      </c>
      <c r="H202" s="38">
        <f t="shared" si="25"/>
        <v>0.93333333333333335</v>
      </c>
      <c r="I202" s="14">
        <v>0</v>
      </c>
      <c r="J202" s="113">
        <f t="shared" si="26"/>
        <v>0</v>
      </c>
      <c r="K202" s="14">
        <v>1</v>
      </c>
      <c r="L202" s="25">
        <f t="shared" si="27"/>
        <v>6.6666666666666666E-2</v>
      </c>
      <c r="M202" s="25"/>
      <c r="N202" s="14"/>
      <c r="O202" s="14"/>
      <c r="P202" s="14"/>
      <c r="Q202" s="14"/>
      <c r="R202" s="14"/>
      <c r="S202" s="14"/>
      <c r="T202" s="14"/>
      <c r="U202" s="14"/>
      <c r="V202" s="14"/>
      <c r="W202" s="136"/>
    </row>
    <row r="203" spans="1:25" x14ac:dyDescent="0.15">
      <c r="A203" s="80"/>
      <c r="B203" s="248">
        <v>0.73541666666666661</v>
      </c>
      <c r="C203" s="249">
        <v>0.74513888888888891</v>
      </c>
      <c r="D203" s="14">
        <v>14</v>
      </c>
      <c r="E203" s="14">
        <v>6</v>
      </c>
      <c r="F203" s="38">
        <f t="shared" si="24"/>
        <v>0.42857142857142855</v>
      </c>
      <c r="G203" s="14">
        <v>5</v>
      </c>
      <c r="H203" s="38">
        <f t="shared" si="25"/>
        <v>0.35714285714285715</v>
      </c>
      <c r="I203" s="14">
        <v>0</v>
      </c>
      <c r="J203" s="113">
        <f t="shared" si="26"/>
        <v>0</v>
      </c>
      <c r="K203" s="14">
        <v>0</v>
      </c>
      <c r="L203" s="25">
        <f t="shared" si="27"/>
        <v>0</v>
      </c>
      <c r="M203" s="25"/>
      <c r="N203" s="14"/>
      <c r="O203" s="170">
        <f>SUM(D201:D203)</f>
        <v>44</v>
      </c>
      <c r="P203" s="170">
        <f>SUM(E201:E203)</f>
        <v>39</v>
      </c>
      <c r="Q203" s="38">
        <f>+P203/O203</f>
        <v>0.88636363636363635</v>
      </c>
      <c r="R203" s="170">
        <f>SUM(G201:G203)</f>
        <v>27</v>
      </c>
      <c r="S203" s="38">
        <f>+R203/O203</f>
        <v>0.61363636363636365</v>
      </c>
      <c r="T203" s="170">
        <f>SUM(I201:I203)</f>
        <v>0</v>
      </c>
      <c r="U203" s="113">
        <f>+T203/O203</f>
        <v>0</v>
      </c>
      <c r="V203" s="170">
        <f>SUM(K201:K203)</f>
        <v>2</v>
      </c>
      <c r="W203" s="171">
        <f>+V203/O203</f>
        <v>4.5454545454545456E-2</v>
      </c>
    </row>
    <row r="204" spans="1:25" x14ac:dyDescent="0.15">
      <c r="A204" s="107" t="s">
        <v>354</v>
      </c>
      <c r="B204" s="248">
        <v>0.69027777777777777</v>
      </c>
      <c r="C204" s="249">
        <v>0.7006944444444444</v>
      </c>
      <c r="D204" s="14">
        <v>15</v>
      </c>
      <c r="E204" s="14">
        <v>8</v>
      </c>
      <c r="F204" s="38">
        <f t="shared" si="24"/>
        <v>0.53333333333333333</v>
      </c>
      <c r="G204" s="14">
        <v>2</v>
      </c>
      <c r="H204" s="38">
        <f t="shared" si="25"/>
        <v>0.13333333333333333</v>
      </c>
      <c r="I204" s="14">
        <v>1</v>
      </c>
      <c r="J204" s="113">
        <f t="shared" si="26"/>
        <v>6.6666666666666666E-2</v>
      </c>
      <c r="K204" s="14">
        <v>0</v>
      </c>
      <c r="L204" s="25">
        <f t="shared" si="27"/>
        <v>0</v>
      </c>
      <c r="M204" s="25"/>
      <c r="N204" s="14"/>
      <c r="O204" s="14"/>
      <c r="P204" s="14"/>
      <c r="Q204" s="14"/>
      <c r="R204" s="14"/>
      <c r="S204" s="14"/>
      <c r="T204" s="14"/>
      <c r="U204" s="14"/>
      <c r="V204" s="14"/>
      <c r="W204" s="136"/>
    </row>
    <row r="205" spans="1:25" x14ac:dyDescent="0.15">
      <c r="A205" s="80"/>
      <c r="B205" s="248">
        <v>0.72083333333333333</v>
      </c>
      <c r="C205" s="249">
        <v>0.73125000000000007</v>
      </c>
      <c r="D205" s="14">
        <v>15</v>
      </c>
      <c r="E205" s="14">
        <v>8</v>
      </c>
      <c r="F205" s="38">
        <f t="shared" si="24"/>
        <v>0.53333333333333333</v>
      </c>
      <c r="G205" s="14">
        <v>6</v>
      </c>
      <c r="H205" s="38">
        <f t="shared" si="25"/>
        <v>0.4</v>
      </c>
      <c r="I205" s="14">
        <v>1</v>
      </c>
      <c r="J205" s="113">
        <f t="shared" si="26"/>
        <v>6.6666666666666666E-2</v>
      </c>
      <c r="K205" s="14">
        <v>0</v>
      </c>
      <c r="L205" s="25">
        <f t="shared" si="27"/>
        <v>0</v>
      </c>
      <c r="M205" s="25"/>
      <c r="N205" s="14"/>
      <c r="O205" s="14"/>
      <c r="P205" s="14"/>
      <c r="Q205" s="14"/>
      <c r="R205" s="14"/>
      <c r="S205" s="14"/>
      <c r="T205" s="14"/>
      <c r="U205" s="14"/>
      <c r="V205" s="14"/>
      <c r="W205" s="136"/>
      <c r="Y205" s="2" t="s">
        <v>18</v>
      </c>
    </row>
    <row r="206" spans="1:25" ht="14" thickBot="1" x14ac:dyDescent="0.2">
      <c r="A206" s="80"/>
      <c r="B206" s="250">
        <v>0.74652777777777779</v>
      </c>
      <c r="C206" s="240">
        <v>0.75416666666666676</v>
      </c>
      <c r="D206" s="34">
        <v>11</v>
      </c>
      <c r="E206" s="34">
        <v>20</v>
      </c>
      <c r="F206" s="174">
        <f t="shared" si="24"/>
        <v>1.8181818181818181</v>
      </c>
      <c r="G206" s="34">
        <v>4</v>
      </c>
      <c r="H206" s="174">
        <f t="shared" si="25"/>
        <v>0.36363636363636365</v>
      </c>
      <c r="I206" s="34">
        <v>0</v>
      </c>
      <c r="J206" s="175">
        <f t="shared" si="26"/>
        <v>0</v>
      </c>
      <c r="K206" s="34">
        <v>0</v>
      </c>
      <c r="L206" s="176">
        <f t="shared" si="27"/>
        <v>0</v>
      </c>
      <c r="M206" s="176"/>
      <c r="N206" s="34"/>
      <c r="O206" s="177">
        <f>SUM(D204:D206)</f>
        <v>41</v>
      </c>
      <c r="P206" s="177">
        <f>SUM(E204:E206)</f>
        <v>36</v>
      </c>
      <c r="Q206" s="174">
        <f>+P206/O206</f>
        <v>0.87804878048780488</v>
      </c>
      <c r="R206" s="177">
        <f>SUM(G204:G206)</f>
        <v>12</v>
      </c>
      <c r="S206" s="174">
        <f>+R206/O206</f>
        <v>0.29268292682926828</v>
      </c>
      <c r="T206" s="177">
        <f>SUM(I204:I206)</f>
        <v>2</v>
      </c>
      <c r="U206" s="175">
        <f>+T206/O206</f>
        <v>4.878048780487805E-2</v>
      </c>
      <c r="V206" s="177">
        <f>SUM(K204:K206)</f>
        <v>0</v>
      </c>
      <c r="W206" s="178">
        <f>+V206/O206</f>
        <v>0</v>
      </c>
    </row>
    <row r="207" spans="1:25" ht="14" thickBot="1" x14ac:dyDescent="0.2">
      <c r="A207" s="42" t="s">
        <v>68</v>
      </c>
      <c r="B207" s="52"/>
      <c r="C207" s="52"/>
      <c r="D207" s="98">
        <f>SUM(D175:D206)</f>
        <v>459</v>
      </c>
      <c r="E207" s="98">
        <f>SUM(E175:E206)</f>
        <v>640</v>
      </c>
      <c r="F207" s="589">
        <f t="shared" si="24"/>
        <v>1.3943355119825709</v>
      </c>
      <c r="G207" s="98">
        <f>SUM(G175:G206)</f>
        <v>330</v>
      </c>
      <c r="H207" s="589">
        <f t="shared" si="25"/>
        <v>0.71895424836601307</v>
      </c>
      <c r="I207" s="98">
        <f>SUM(I175:I206)</f>
        <v>33</v>
      </c>
      <c r="J207" s="589">
        <f t="shared" si="26"/>
        <v>7.1895424836601302E-2</v>
      </c>
      <c r="K207" s="98">
        <f>SUM(K175:K206)</f>
        <v>11</v>
      </c>
      <c r="L207" s="829">
        <f t="shared" si="27"/>
        <v>2.3965141612200435E-2</v>
      </c>
      <c r="M207" s="291"/>
      <c r="N207" s="96" t="s">
        <v>218</v>
      </c>
      <c r="O207" s="69">
        <f>SUM(O194:O206)</f>
        <v>234</v>
      </c>
      <c r="P207" s="69">
        <f>SUM(P194:P206)</f>
        <v>326</v>
      </c>
      <c r="Q207" s="68">
        <f>+P207/O207</f>
        <v>1.3931623931623931</v>
      </c>
      <c r="R207" s="69">
        <f>SUM(R194:R206)</f>
        <v>139</v>
      </c>
      <c r="S207" s="68">
        <f>+R207/O207</f>
        <v>0.59401709401709402</v>
      </c>
      <c r="T207" s="69">
        <f>SUM(T194:T206)</f>
        <v>16</v>
      </c>
      <c r="U207" s="68">
        <f>+T207/O207</f>
        <v>6.8376068376068383E-2</v>
      </c>
      <c r="V207" s="69">
        <f>SUM(V194:V206)</f>
        <v>8</v>
      </c>
      <c r="W207" s="179">
        <f>+V207/O207</f>
        <v>3.4188034188034191E-2</v>
      </c>
    </row>
    <row r="208" spans="1:25" ht="14" thickBot="1" x14ac:dyDescent="0.2">
      <c r="A208" s="42" t="s">
        <v>455</v>
      </c>
      <c r="B208" s="343"/>
      <c r="C208" s="343"/>
      <c r="D208" s="98">
        <f>+D207</f>
        <v>459</v>
      </c>
      <c r="E208" s="331">
        <f>+E207+G207</f>
        <v>970</v>
      </c>
      <c r="F208" s="371">
        <f t="shared" si="24"/>
        <v>2.1132897603485841</v>
      </c>
      <c r="G208" s="98"/>
      <c r="H208" s="97"/>
      <c r="I208" s="98"/>
      <c r="J208" s="97"/>
      <c r="K208" s="98"/>
      <c r="L208" s="291"/>
      <c r="M208" s="291"/>
      <c r="N208" s="96"/>
      <c r="O208" s="69"/>
      <c r="P208" s="69"/>
      <c r="Q208" s="68"/>
      <c r="R208" s="69"/>
      <c r="S208" s="68"/>
      <c r="T208" s="69"/>
      <c r="U208" s="68"/>
      <c r="V208" s="69"/>
      <c r="W208" s="179"/>
    </row>
    <row r="209" spans="1:23" ht="14" thickBot="1" x14ac:dyDescent="0.2">
      <c r="A209" s="42" t="s">
        <v>456</v>
      </c>
      <c r="B209" s="343"/>
      <c r="C209" s="343"/>
      <c r="D209" s="98">
        <f>+D207</f>
        <v>459</v>
      </c>
      <c r="E209" s="331">
        <f>+I207+K207</f>
        <v>44</v>
      </c>
      <c r="F209" s="371">
        <f t="shared" si="24"/>
        <v>9.586056644880174E-2</v>
      </c>
      <c r="G209" s="98"/>
      <c r="H209" s="97"/>
      <c r="I209" s="98"/>
      <c r="J209" s="97"/>
      <c r="K209" s="98"/>
      <c r="L209" s="291"/>
      <c r="M209" s="291"/>
      <c r="N209" s="96"/>
      <c r="O209" s="69"/>
      <c r="P209" s="69"/>
      <c r="Q209" s="68"/>
      <c r="R209" s="69"/>
      <c r="S209" s="68"/>
      <c r="T209" s="69"/>
      <c r="U209" s="68"/>
      <c r="V209" s="69"/>
      <c r="W209" s="179"/>
    </row>
    <row r="210" spans="1:23" x14ac:dyDescent="0.15">
      <c r="A210" s="107" t="s">
        <v>802</v>
      </c>
      <c r="B210" s="840"/>
      <c r="C210" s="840"/>
      <c r="D210" s="123">
        <f>+D209</f>
        <v>459</v>
      </c>
      <c r="E210" s="836">
        <f>+E208+E209</f>
        <v>1014</v>
      </c>
      <c r="F210" s="837">
        <f>+E210/D210</f>
        <v>2.2091503267973858</v>
      </c>
      <c r="G210" s="123"/>
      <c r="H210" s="92"/>
      <c r="I210" s="123"/>
      <c r="J210" s="92"/>
      <c r="K210" s="123"/>
      <c r="L210" s="838"/>
      <c r="M210" s="838"/>
      <c r="N210" s="13"/>
      <c r="O210" s="841"/>
      <c r="P210" s="841"/>
      <c r="Q210" s="842"/>
      <c r="R210" s="841"/>
      <c r="S210" s="842"/>
      <c r="T210" s="841"/>
      <c r="U210" s="842"/>
      <c r="V210" s="841"/>
      <c r="W210" s="843"/>
    </row>
    <row r="211" spans="1:23" ht="14" thickBot="1" x14ac:dyDescent="0.2">
      <c r="A211" s="344"/>
      <c r="B211" s="266"/>
      <c r="C211" s="266"/>
      <c r="D211" s="266"/>
      <c r="E211" s="266"/>
      <c r="F211" s="266"/>
      <c r="G211" s="266"/>
      <c r="H211" s="266"/>
      <c r="I211" s="266"/>
      <c r="J211" s="266"/>
      <c r="K211" s="266"/>
      <c r="L211" s="266"/>
      <c r="M211" s="266"/>
      <c r="N211" s="266"/>
      <c r="O211" s="266"/>
      <c r="P211" s="345" t="s">
        <v>18</v>
      </c>
      <c r="Q211" s="266"/>
      <c r="R211" s="266"/>
      <c r="S211" s="266"/>
      <c r="T211" s="266"/>
      <c r="U211" s="266"/>
      <c r="V211" s="266"/>
      <c r="W211" s="346"/>
    </row>
    <row r="212" spans="1:23" ht="14" thickBot="1" x14ac:dyDescent="0.2">
      <c r="A212" s="53" t="s">
        <v>12</v>
      </c>
      <c r="B212" s="153"/>
      <c r="C212" s="154"/>
      <c r="D212" s="154" t="s">
        <v>18</v>
      </c>
      <c r="E212" s="154"/>
      <c r="F212" s="155" t="s">
        <v>169</v>
      </c>
      <c r="G212" s="155" t="s">
        <v>170</v>
      </c>
      <c r="H212" s="155" t="s">
        <v>220</v>
      </c>
      <c r="I212" s="155" t="s">
        <v>184</v>
      </c>
      <c r="J212" s="155"/>
      <c r="K212" s="50"/>
      <c r="L212" s="83"/>
      <c r="M212" s="50"/>
      <c r="N212" s="263" t="s">
        <v>18</v>
      </c>
      <c r="O212" s="263"/>
      <c r="P212" s="263"/>
      <c r="Q212" s="263" t="s">
        <v>18</v>
      </c>
      <c r="R212" s="263"/>
      <c r="S212" s="263"/>
      <c r="T212" s="263"/>
      <c r="U212" s="263"/>
      <c r="V212" s="263"/>
      <c r="W212" s="315"/>
    </row>
    <row r="213" spans="1:23" x14ac:dyDescent="0.15">
      <c r="A213" s="74" t="s">
        <v>640</v>
      </c>
      <c r="B213" s="163" t="s">
        <v>213</v>
      </c>
      <c r="C213" s="164"/>
      <c r="D213" s="21"/>
      <c r="E213" s="19"/>
      <c r="F213" s="64" t="s">
        <v>432</v>
      </c>
      <c r="G213" s="235" t="s">
        <v>219</v>
      </c>
      <c r="H213" s="26" t="s">
        <v>172</v>
      </c>
      <c r="I213" s="230" t="s">
        <v>185</v>
      </c>
      <c r="J213" s="230" t="s">
        <v>18</v>
      </c>
      <c r="K213" s="230" t="s">
        <v>18</v>
      </c>
      <c r="L213" s="157" t="s">
        <v>18</v>
      </c>
      <c r="M213" s="19"/>
      <c r="N213" s="163" t="s">
        <v>213</v>
      </c>
      <c r="O213" s="164"/>
      <c r="P213" s="14" t="s">
        <v>18</v>
      </c>
      <c r="Q213" s="14"/>
      <c r="R213" s="64" t="s">
        <v>18</v>
      </c>
      <c r="S213" s="14"/>
      <c r="T213" s="14"/>
      <c r="U213" s="14"/>
      <c r="V213" s="14"/>
      <c r="W213" s="136"/>
    </row>
    <row r="214" spans="1:23" ht="14" thickBot="1" x14ac:dyDescent="0.2">
      <c r="A214" s="95"/>
      <c r="B214" s="158" t="s">
        <v>215</v>
      </c>
      <c r="C214" s="165"/>
      <c r="D214" s="160"/>
      <c r="E214" s="160"/>
      <c r="F214" s="160"/>
      <c r="G214" s="161"/>
      <c r="H214" s="236" t="s">
        <v>433</v>
      </c>
      <c r="I214" s="160" t="s">
        <v>18</v>
      </c>
      <c r="J214" s="160"/>
      <c r="K214" s="160"/>
      <c r="L214" s="162"/>
      <c r="M214" s="160"/>
      <c r="N214" s="158" t="s">
        <v>215</v>
      </c>
      <c r="O214" s="165"/>
      <c r="P214" s="13"/>
      <c r="Q214" s="14"/>
      <c r="R214" s="14"/>
      <c r="S214" s="14"/>
      <c r="T214" s="14"/>
      <c r="U214" s="14"/>
      <c r="V214" s="14"/>
      <c r="W214" s="136"/>
    </row>
    <row r="215" spans="1:23" x14ac:dyDescent="0.15">
      <c r="A215" s="149" t="s">
        <v>216</v>
      </c>
      <c r="B215" s="48" t="s">
        <v>188</v>
      </c>
      <c r="C215" s="32" t="s">
        <v>188</v>
      </c>
      <c r="D215" s="32" t="s">
        <v>206</v>
      </c>
      <c r="E215" s="32" t="s">
        <v>197</v>
      </c>
      <c r="F215" s="32" t="s">
        <v>209</v>
      </c>
      <c r="G215" s="32" t="s">
        <v>197</v>
      </c>
      <c r="H215" s="32" t="s">
        <v>209</v>
      </c>
      <c r="I215" s="32" t="s">
        <v>201</v>
      </c>
      <c r="J215" s="32" t="s">
        <v>209</v>
      </c>
      <c r="K215" s="32" t="s">
        <v>203</v>
      </c>
      <c r="L215" s="32" t="s">
        <v>209</v>
      </c>
      <c r="M215" s="32"/>
      <c r="N215" s="32" t="s">
        <v>18</v>
      </c>
      <c r="O215" s="32" t="s">
        <v>206</v>
      </c>
      <c r="P215" s="32" t="s">
        <v>197</v>
      </c>
      <c r="Q215" s="32" t="s">
        <v>209</v>
      </c>
      <c r="R215" s="32" t="s">
        <v>197</v>
      </c>
      <c r="S215" s="32" t="s">
        <v>209</v>
      </c>
      <c r="T215" s="32" t="s">
        <v>201</v>
      </c>
      <c r="U215" s="32" t="s">
        <v>209</v>
      </c>
      <c r="V215" s="32" t="s">
        <v>203</v>
      </c>
      <c r="W215" s="151" t="s">
        <v>209</v>
      </c>
    </row>
    <row r="216" spans="1:23" ht="14" thickBot="1" x14ac:dyDescent="0.2">
      <c r="A216" s="150" t="s">
        <v>353</v>
      </c>
      <c r="B216" s="89" t="s">
        <v>207</v>
      </c>
      <c r="C216" s="33" t="s">
        <v>208</v>
      </c>
      <c r="D216" s="33" t="s">
        <v>205</v>
      </c>
      <c r="E216" s="33" t="s">
        <v>198</v>
      </c>
      <c r="F216" s="33" t="s">
        <v>210</v>
      </c>
      <c r="G216" s="33" t="s">
        <v>199</v>
      </c>
      <c r="H216" s="33" t="s">
        <v>210</v>
      </c>
      <c r="I216" s="33" t="s">
        <v>200</v>
      </c>
      <c r="J216" s="33" t="s">
        <v>210</v>
      </c>
      <c r="K216" s="33" t="s">
        <v>204</v>
      </c>
      <c r="L216" s="33" t="s">
        <v>210</v>
      </c>
      <c r="M216" s="33"/>
      <c r="N216" s="33"/>
      <c r="O216" s="33" t="s">
        <v>205</v>
      </c>
      <c r="P216" s="33" t="s">
        <v>198</v>
      </c>
      <c r="Q216" s="33" t="s">
        <v>210</v>
      </c>
      <c r="R216" s="33" t="s">
        <v>199</v>
      </c>
      <c r="S216" s="33" t="s">
        <v>210</v>
      </c>
      <c r="T216" s="33" t="s">
        <v>200</v>
      </c>
      <c r="U216" s="33" t="s">
        <v>210</v>
      </c>
      <c r="V216" s="33" t="s">
        <v>204</v>
      </c>
      <c r="W216" s="152" t="s">
        <v>210</v>
      </c>
    </row>
    <row r="217" spans="1:23" x14ac:dyDescent="0.15">
      <c r="A217" s="107" t="s">
        <v>434</v>
      </c>
      <c r="B217" s="237">
        <v>0.46527777777777773</v>
      </c>
      <c r="C217" s="237">
        <v>0.47569444444444442</v>
      </c>
      <c r="D217" s="14">
        <v>15</v>
      </c>
      <c r="E217" s="14">
        <v>19</v>
      </c>
      <c r="F217" s="38">
        <f t="shared" ref="F217:F265" si="29">+E217/D217</f>
        <v>1.2666666666666666</v>
      </c>
      <c r="G217" s="14">
        <v>6</v>
      </c>
      <c r="H217" s="38">
        <f t="shared" ref="H217:H263" si="30">+G217/D217</f>
        <v>0.4</v>
      </c>
      <c r="I217" s="14">
        <v>4</v>
      </c>
      <c r="J217" s="113">
        <f t="shared" ref="J217:J263" si="31">+I217/D217</f>
        <v>0.26666666666666666</v>
      </c>
      <c r="K217" s="14">
        <v>0</v>
      </c>
      <c r="L217" s="25">
        <f t="shared" ref="L217:L263" si="32">+K217/D217</f>
        <v>0</v>
      </c>
      <c r="M217" s="64" t="s">
        <v>18</v>
      </c>
      <c r="N217" s="14"/>
      <c r="O217" s="14"/>
      <c r="P217" s="14"/>
      <c r="Q217" s="14"/>
      <c r="R217" s="14"/>
      <c r="S217" s="14"/>
      <c r="T217" s="14"/>
      <c r="U217" s="14"/>
      <c r="V217" s="14"/>
      <c r="W217" s="136"/>
    </row>
    <row r="218" spans="1:23" x14ac:dyDescent="0.15">
      <c r="A218" s="80"/>
      <c r="B218" s="237">
        <v>0.50694444444444442</v>
      </c>
      <c r="C218" s="237">
        <v>0.51736111111111105</v>
      </c>
      <c r="D218" s="14">
        <v>15</v>
      </c>
      <c r="E218" s="14">
        <v>20</v>
      </c>
      <c r="F218" s="38">
        <f t="shared" si="29"/>
        <v>1.3333333333333333</v>
      </c>
      <c r="G218" s="14">
        <v>38</v>
      </c>
      <c r="H218" s="38">
        <f t="shared" si="30"/>
        <v>2.5333333333333332</v>
      </c>
      <c r="I218" s="14">
        <v>2</v>
      </c>
      <c r="J218" s="113">
        <f t="shared" si="31"/>
        <v>0.13333333333333333</v>
      </c>
      <c r="K218" s="14">
        <v>0</v>
      </c>
      <c r="L218" s="25">
        <f t="shared" si="32"/>
        <v>0</v>
      </c>
      <c r="M218" s="64" t="s">
        <v>18</v>
      </c>
      <c r="N218" s="64" t="s">
        <v>18</v>
      </c>
      <c r="O218" s="14">
        <f>SUM(D217:D218)</f>
        <v>30</v>
      </c>
      <c r="P218" s="14">
        <f>SUM(E217:E218)</f>
        <v>39</v>
      </c>
      <c r="Q218" s="38">
        <f>+P218/O218</f>
        <v>1.3</v>
      </c>
      <c r="R218" s="14">
        <f>SUM(G217:G218)</f>
        <v>44</v>
      </c>
      <c r="S218" s="38">
        <f>+R218/O218</f>
        <v>1.4666666666666666</v>
      </c>
      <c r="T218" s="14">
        <f>SUM(I217:I218)</f>
        <v>6</v>
      </c>
      <c r="U218" s="113">
        <f>+T218/O218</f>
        <v>0.2</v>
      </c>
      <c r="V218" s="14">
        <f>SUM(K217:K218)</f>
        <v>0</v>
      </c>
      <c r="W218" s="171">
        <f>+V218/O218</f>
        <v>0</v>
      </c>
    </row>
    <row r="219" spans="1:23" x14ac:dyDescent="0.15">
      <c r="A219" s="107" t="s">
        <v>435</v>
      </c>
      <c r="B219" s="237">
        <v>0.45833333333333331</v>
      </c>
      <c r="C219" s="237">
        <v>0.46527777777777773</v>
      </c>
      <c r="D219" s="14">
        <v>10</v>
      </c>
      <c r="E219" s="14">
        <v>25</v>
      </c>
      <c r="F219" s="38">
        <f t="shared" si="29"/>
        <v>2.5</v>
      </c>
      <c r="G219" s="14">
        <v>2</v>
      </c>
      <c r="H219" s="38">
        <f t="shared" si="30"/>
        <v>0.2</v>
      </c>
      <c r="I219" s="14">
        <v>4</v>
      </c>
      <c r="J219" s="113">
        <f t="shared" si="31"/>
        <v>0.4</v>
      </c>
      <c r="K219" s="14">
        <v>0</v>
      </c>
      <c r="L219" s="25">
        <f t="shared" si="32"/>
        <v>0</v>
      </c>
      <c r="M219" s="64" t="s">
        <v>424</v>
      </c>
      <c r="N219" s="14"/>
      <c r="O219" s="14"/>
      <c r="P219" s="14"/>
      <c r="Q219" s="14"/>
      <c r="R219" s="14"/>
      <c r="S219" s="14"/>
      <c r="T219" s="14"/>
      <c r="U219" s="14"/>
      <c r="V219" s="14"/>
      <c r="W219" s="136"/>
    </row>
    <row r="220" spans="1:23" x14ac:dyDescent="0.15">
      <c r="A220" s="80"/>
      <c r="B220" s="237">
        <v>0.50347222222222221</v>
      </c>
      <c r="C220" s="237">
        <v>0.51041666666666663</v>
      </c>
      <c r="D220" s="14">
        <v>10</v>
      </c>
      <c r="E220" s="64">
        <v>165</v>
      </c>
      <c r="F220" s="38">
        <f t="shared" si="29"/>
        <v>16.5</v>
      </c>
      <c r="G220" s="14">
        <v>33</v>
      </c>
      <c r="H220" s="38">
        <f t="shared" si="30"/>
        <v>3.3</v>
      </c>
      <c r="I220" s="14">
        <v>0</v>
      </c>
      <c r="J220" s="113">
        <f t="shared" si="31"/>
        <v>0</v>
      </c>
      <c r="K220" s="14">
        <v>0</v>
      </c>
      <c r="L220" s="25">
        <f t="shared" si="32"/>
        <v>0</v>
      </c>
      <c r="M220" s="64" t="s">
        <v>424</v>
      </c>
      <c r="N220" s="64" t="s">
        <v>18</v>
      </c>
      <c r="O220" s="14">
        <f>SUM(D219:D220)</f>
        <v>20</v>
      </c>
      <c r="P220" s="14">
        <f>SUM(E219:E220)</f>
        <v>190</v>
      </c>
      <c r="Q220" s="38">
        <f>+P220/O220</f>
        <v>9.5</v>
      </c>
      <c r="R220" s="14">
        <f>SUM(G219:G220)</f>
        <v>35</v>
      </c>
      <c r="S220" s="38">
        <f>+R220/O220</f>
        <v>1.75</v>
      </c>
      <c r="T220" s="14">
        <f>SUM(I219:I220)</f>
        <v>4</v>
      </c>
      <c r="U220" s="113">
        <f>+T220/O220</f>
        <v>0.2</v>
      </c>
      <c r="V220" s="14">
        <f>SUM(K219:K220)</f>
        <v>0</v>
      </c>
      <c r="W220" s="171">
        <f>+V220/O220</f>
        <v>0</v>
      </c>
    </row>
    <row r="221" spans="1:23" x14ac:dyDescent="0.15">
      <c r="A221" s="107" t="s">
        <v>436</v>
      </c>
      <c r="B221" s="237">
        <v>0.49305555555555558</v>
      </c>
      <c r="C221" s="237">
        <v>0.50347222222222221</v>
      </c>
      <c r="D221" s="14">
        <v>15</v>
      </c>
      <c r="E221" s="64">
        <v>143</v>
      </c>
      <c r="F221" s="314">
        <f t="shared" si="29"/>
        <v>9.5333333333333332</v>
      </c>
      <c r="G221" s="64">
        <v>53</v>
      </c>
      <c r="H221" s="25">
        <f t="shared" si="30"/>
        <v>3.5333333333333332</v>
      </c>
      <c r="I221" s="64">
        <v>0</v>
      </c>
      <c r="J221" s="299">
        <f t="shared" si="31"/>
        <v>0</v>
      </c>
      <c r="K221" s="64">
        <v>0</v>
      </c>
      <c r="L221" s="314">
        <f t="shared" si="32"/>
        <v>0</v>
      </c>
      <c r="M221" s="14"/>
      <c r="N221" s="14"/>
      <c r="O221" s="14"/>
      <c r="P221" s="64" t="s">
        <v>18</v>
      </c>
      <c r="Q221" s="64" t="s">
        <v>18</v>
      </c>
      <c r="R221" s="14"/>
      <c r="S221" s="14"/>
      <c r="T221" s="14"/>
      <c r="U221" s="14"/>
      <c r="V221" s="14"/>
      <c r="W221" s="136"/>
    </row>
    <row r="222" spans="1:23" x14ac:dyDescent="0.15">
      <c r="A222" s="80"/>
      <c r="B222" s="237">
        <v>0.53472222222222221</v>
      </c>
      <c r="C222" s="237">
        <v>0.54513888888888895</v>
      </c>
      <c r="D222" s="14">
        <v>15</v>
      </c>
      <c r="E222" s="64">
        <v>243</v>
      </c>
      <c r="F222" s="314">
        <f t="shared" si="29"/>
        <v>16.2</v>
      </c>
      <c r="G222" s="64">
        <v>93</v>
      </c>
      <c r="H222" s="25">
        <f t="shared" si="30"/>
        <v>6.2</v>
      </c>
      <c r="I222" s="64">
        <v>2</v>
      </c>
      <c r="J222" s="299">
        <f t="shared" si="31"/>
        <v>0.13333333333333333</v>
      </c>
      <c r="K222" s="64">
        <v>0</v>
      </c>
      <c r="L222" s="314">
        <f t="shared" si="32"/>
        <v>0</v>
      </c>
      <c r="M222" s="14"/>
      <c r="N222" s="14"/>
      <c r="O222" s="14">
        <f>SUM(D221:D222)</f>
        <v>30</v>
      </c>
      <c r="P222" s="14">
        <f>SUM(E221:E222)</f>
        <v>386</v>
      </c>
      <c r="Q222" s="38">
        <f>+P222/O222</f>
        <v>12.866666666666667</v>
      </c>
      <c r="R222" s="14">
        <f>SUM(G221:G222)</f>
        <v>146</v>
      </c>
      <c r="S222" s="38">
        <f>+R222/O222</f>
        <v>4.8666666666666663</v>
      </c>
      <c r="T222" s="14">
        <f>SUM(I221:I222)</f>
        <v>2</v>
      </c>
      <c r="U222" s="113">
        <f>+T222/O222</f>
        <v>6.6666666666666666E-2</v>
      </c>
      <c r="V222" s="14">
        <f>SUM(K221:K222)</f>
        <v>0</v>
      </c>
      <c r="W222" s="171">
        <f>+V222/O222</f>
        <v>0</v>
      </c>
    </row>
    <row r="223" spans="1:23" x14ac:dyDescent="0.15">
      <c r="A223" s="107" t="s">
        <v>437</v>
      </c>
      <c r="B223" s="237">
        <v>0.46736111111111112</v>
      </c>
      <c r="C223" s="237">
        <v>0.47430555555555554</v>
      </c>
      <c r="D223" s="14">
        <v>10</v>
      </c>
      <c r="E223" s="64">
        <v>55</v>
      </c>
      <c r="F223" s="314">
        <f t="shared" si="29"/>
        <v>5.5</v>
      </c>
      <c r="G223" s="64">
        <v>22</v>
      </c>
      <c r="H223" s="25">
        <f t="shared" si="30"/>
        <v>2.2000000000000002</v>
      </c>
      <c r="I223" s="64">
        <v>3</v>
      </c>
      <c r="J223" s="299">
        <f t="shared" si="31"/>
        <v>0.3</v>
      </c>
      <c r="K223" s="64">
        <v>0</v>
      </c>
      <c r="L223" s="314">
        <f t="shared" si="32"/>
        <v>0</v>
      </c>
      <c r="M223" s="64" t="s">
        <v>424</v>
      </c>
      <c r="N223" s="14"/>
      <c r="O223" s="14"/>
      <c r="P223" s="14"/>
      <c r="Q223" s="14"/>
      <c r="R223" s="14"/>
      <c r="S223" s="14"/>
      <c r="T223" s="14"/>
      <c r="U223" s="14"/>
      <c r="V223" s="64" t="s">
        <v>18</v>
      </c>
      <c r="W223" s="136"/>
    </row>
    <row r="224" spans="1:23" x14ac:dyDescent="0.15">
      <c r="A224" s="80"/>
      <c r="B224" s="237">
        <v>0.49444444444444446</v>
      </c>
      <c r="C224" s="237">
        <v>0.50138888888888888</v>
      </c>
      <c r="D224" s="14">
        <v>10</v>
      </c>
      <c r="E224" s="64">
        <v>90</v>
      </c>
      <c r="F224" s="314">
        <f t="shared" si="29"/>
        <v>9</v>
      </c>
      <c r="G224" s="64">
        <v>17</v>
      </c>
      <c r="H224" s="25">
        <f t="shared" si="30"/>
        <v>1.7</v>
      </c>
      <c r="I224" s="64">
        <v>1</v>
      </c>
      <c r="J224" s="299">
        <f t="shared" si="31"/>
        <v>0.1</v>
      </c>
      <c r="K224" s="64">
        <v>1</v>
      </c>
      <c r="L224" s="314">
        <f t="shared" si="32"/>
        <v>0.1</v>
      </c>
      <c r="M224" s="64" t="s">
        <v>421</v>
      </c>
      <c r="N224" s="14"/>
      <c r="O224" s="14"/>
      <c r="P224" s="14"/>
      <c r="Q224" s="14"/>
      <c r="R224" s="64" t="s">
        <v>18</v>
      </c>
      <c r="S224" s="14"/>
      <c r="T224" s="14"/>
      <c r="U224" s="14"/>
      <c r="V224" s="14"/>
      <c r="W224" s="136"/>
    </row>
    <row r="225" spans="1:23" x14ac:dyDescent="0.15">
      <c r="A225" s="80"/>
      <c r="B225" s="237">
        <v>0.5395833333333333</v>
      </c>
      <c r="C225" s="237">
        <v>4.6527777777777779E-2</v>
      </c>
      <c r="D225" s="14">
        <v>10</v>
      </c>
      <c r="E225" s="64">
        <v>32</v>
      </c>
      <c r="F225" s="314">
        <f t="shared" si="29"/>
        <v>3.2</v>
      </c>
      <c r="G225" s="64">
        <v>35</v>
      </c>
      <c r="H225" s="25">
        <f t="shared" si="30"/>
        <v>3.5</v>
      </c>
      <c r="I225" s="64">
        <v>1</v>
      </c>
      <c r="J225" s="299">
        <f t="shared" si="31"/>
        <v>0.1</v>
      </c>
      <c r="K225" s="64">
        <v>0</v>
      </c>
      <c r="L225" s="314">
        <f t="shared" si="32"/>
        <v>0</v>
      </c>
      <c r="M225" s="64" t="s">
        <v>421</v>
      </c>
      <c r="N225" s="14"/>
      <c r="O225" s="14">
        <f>SUM(D223:D225)</f>
        <v>30</v>
      </c>
      <c r="P225" s="14">
        <f>SUM(E223:E225)</f>
        <v>177</v>
      </c>
      <c r="Q225" s="38">
        <f>+P225/O225</f>
        <v>5.9</v>
      </c>
      <c r="R225" s="14">
        <f>SUM(G223:G225)</f>
        <v>74</v>
      </c>
      <c r="S225" s="38">
        <f>+R225/O225</f>
        <v>2.4666666666666668</v>
      </c>
      <c r="T225" s="14">
        <f>SUM(I223:I225)</f>
        <v>5</v>
      </c>
      <c r="U225" s="113">
        <f>+T225/O225</f>
        <v>0.16666666666666666</v>
      </c>
      <c r="V225" s="14">
        <f>SUM(K223:K225)</f>
        <v>1</v>
      </c>
      <c r="W225" s="171">
        <f>+V225/O225</f>
        <v>3.3333333333333333E-2</v>
      </c>
    </row>
    <row r="226" spans="1:23" x14ac:dyDescent="0.15">
      <c r="A226" s="107" t="s">
        <v>438</v>
      </c>
      <c r="B226" s="237">
        <v>0.47916666666666669</v>
      </c>
      <c r="C226" s="237">
        <v>0.48958333333333331</v>
      </c>
      <c r="D226" s="14">
        <v>15</v>
      </c>
      <c r="E226" s="64">
        <v>82</v>
      </c>
      <c r="F226" s="314">
        <f t="shared" si="29"/>
        <v>5.4666666666666668</v>
      </c>
      <c r="G226" s="64">
        <v>29</v>
      </c>
      <c r="H226" s="25">
        <f t="shared" si="30"/>
        <v>1.9333333333333333</v>
      </c>
      <c r="I226" s="64">
        <v>4</v>
      </c>
      <c r="J226" s="299">
        <f t="shared" si="31"/>
        <v>0.26666666666666666</v>
      </c>
      <c r="K226" s="64">
        <v>0</v>
      </c>
      <c r="L226" s="314">
        <f t="shared" si="32"/>
        <v>0</v>
      </c>
      <c r="M226" s="14"/>
      <c r="N226" s="14"/>
      <c r="O226" s="14"/>
      <c r="P226" s="64" t="s">
        <v>18</v>
      </c>
      <c r="Q226" s="14"/>
      <c r="R226" s="14"/>
      <c r="S226" s="14"/>
      <c r="T226" s="14"/>
      <c r="U226" s="14"/>
      <c r="V226" s="14"/>
      <c r="W226" s="136"/>
    </row>
    <row r="227" spans="1:23" x14ac:dyDescent="0.15">
      <c r="A227" s="80"/>
      <c r="B227" s="237">
        <v>0.52083333333333337</v>
      </c>
      <c r="C227" s="237">
        <v>0.53125</v>
      </c>
      <c r="D227" s="14">
        <v>15</v>
      </c>
      <c r="E227" s="64">
        <v>163</v>
      </c>
      <c r="F227" s="314">
        <f t="shared" si="29"/>
        <v>10.866666666666667</v>
      </c>
      <c r="G227" s="64">
        <v>40</v>
      </c>
      <c r="H227" s="25">
        <f t="shared" si="30"/>
        <v>2.6666666666666665</v>
      </c>
      <c r="I227" s="64">
        <v>1</v>
      </c>
      <c r="J227" s="299">
        <f t="shared" si="31"/>
        <v>6.6666666666666666E-2</v>
      </c>
      <c r="K227" s="64">
        <v>1</v>
      </c>
      <c r="L227" s="314">
        <f t="shared" si="32"/>
        <v>6.6666666666666666E-2</v>
      </c>
      <c r="M227" s="14"/>
      <c r="N227" s="64" t="s">
        <v>18</v>
      </c>
      <c r="O227" s="14">
        <f>SUM(D226:D227)</f>
        <v>30</v>
      </c>
      <c r="P227" s="14">
        <f>SUM(E226:E227)</f>
        <v>245</v>
      </c>
      <c r="Q227" s="38">
        <f>+P227/O227</f>
        <v>8.1666666666666661</v>
      </c>
      <c r="R227" s="14">
        <f>SUM(G226:G227)</f>
        <v>69</v>
      </c>
      <c r="S227" s="38">
        <f>+R227/O227</f>
        <v>2.2999999999999998</v>
      </c>
      <c r="T227" s="14">
        <f>SUM(I226:I227)</f>
        <v>5</v>
      </c>
      <c r="U227" s="113">
        <f>+T227/O227</f>
        <v>0.16666666666666666</v>
      </c>
      <c r="V227" s="14">
        <f>SUM(K226:K227)</f>
        <v>1</v>
      </c>
      <c r="W227" s="171">
        <f>+V227/O227</f>
        <v>3.3333333333333333E-2</v>
      </c>
    </row>
    <row r="228" spans="1:23" x14ac:dyDescent="0.15">
      <c r="A228" s="107" t="s">
        <v>439</v>
      </c>
      <c r="B228" s="237">
        <v>0.51250000000000007</v>
      </c>
      <c r="C228" s="237">
        <v>0.51944444444444449</v>
      </c>
      <c r="D228" s="14">
        <v>10</v>
      </c>
      <c r="E228" s="64">
        <v>121</v>
      </c>
      <c r="F228" s="314">
        <f t="shared" si="29"/>
        <v>12.1</v>
      </c>
      <c r="G228" s="64">
        <v>14</v>
      </c>
      <c r="H228" s="25">
        <f t="shared" si="30"/>
        <v>1.4</v>
      </c>
      <c r="I228" s="64">
        <v>0</v>
      </c>
      <c r="J228" s="299">
        <f t="shared" si="31"/>
        <v>0</v>
      </c>
      <c r="K228" s="64">
        <v>0</v>
      </c>
      <c r="L228" s="314">
        <f t="shared" si="32"/>
        <v>0</v>
      </c>
      <c r="M228" s="14"/>
      <c r="N228" s="14"/>
      <c r="O228" s="14">
        <f>+D228</f>
        <v>10</v>
      </c>
      <c r="P228" s="14">
        <f>+E228</f>
        <v>121</v>
      </c>
      <c r="Q228" s="38">
        <f>+P228/O228</f>
        <v>12.1</v>
      </c>
      <c r="R228" s="14">
        <f>+G228</f>
        <v>14</v>
      </c>
      <c r="S228" s="38">
        <f>+R228/O228</f>
        <v>1.4</v>
      </c>
      <c r="T228" s="14">
        <f>+I228</f>
        <v>0</v>
      </c>
      <c r="U228" s="113">
        <f>+T228/O228</f>
        <v>0</v>
      </c>
      <c r="V228" s="14">
        <f>+K228</f>
        <v>0</v>
      </c>
      <c r="W228" s="171">
        <f>+V228/O228</f>
        <v>0</v>
      </c>
    </row>
    <row r="229" spans="1:23" x14ac:dyDescent="0.15">
      <c r="A229" s="107" t="s">
        <v>440</v>
      </c>
      <c r="B229" s="237">
        <v>0.47916666666666669</v>
      </c>
      <c r="C229" s="237">
        <v>0.48958333333333331</v>
      </c>
      <c r="D229" s="14">
        <v>15</v>
      </c>
      <c r="E229" s="64">
        <v>96</v>
      </c>
      <c r="F229" s="314">
        <f t="shared" si="29"/>
        <v>6.4</v>
      </c>
      <c r="G229" s="64">
        <v>37</v>
      </c>
      <c r="H229" s="25">
        <f t="shared" si="30"/>
        <v>2.4666666666666668</v>
      </c>
      <c r="I229" s="64">
        <v>1</v>
      </c>
      <c r="J229" s="299">
        <f t="shared" si="31"/>
        <v>6.6666666666666666E-2</v>
      </c>
      <c r="K229" s="64">
        <v>0</v>
      </c>
      <c r="L229" s="314">
        <f t="shared" si="32"/>
        <v>0</v>
      </c>
      <c r="M229" s="14"/>
      <c r="N229" s="14"/>
      <c r="O229" s="14"/>
      <c r="P229" s="14"/>
      <c r="Q229" s="14"/>
      <c r="R229" s="14"/>
      <c r="S229" s="14"/>
      <c r="T229" s="14"/>
      <c r="U229" s="64" t="s">
        <v>18</v>
      </c>
      <c r="V229" s="14"/>
      <c r="W229" s="136"/>
    </row>
    <row r="230" spans="1:23" x14ac:dyDescent="0.15">
      <c r="A230" s="80"/>
      <c r="B230" s="237">
        <v>0.52083333333333337</v>
      </c>
      <c r="C230" s="237">
        <v>0.53125</v>
      </c>
      <c r="D230" s="14">
        <v>15</v>
      </c>
      <c r="E230" s="64">
        <v>137</v>
      </c>
      <c r="F230" s="314">
        <f t="shared" si="29"/>
        <v>9.1333333333333329</v>
      </c>
      <c r="G230" s="64">
        <v>43</v>
      </c>
      <c r="H230" s="25">
        <f t="shared" si="30"/>
        <v>2.8666666666666667</v>
      </c>
      <c r="I230" s="64">
        <v>3</v>
      </c>
      <c r="J230" s="299">
        <f t="shared" si="31"/>
        <v>0.2</v>
      </c>
      <c r="K230" s="64">
        <v>1</v>
      </c>
      <c r="L230" s="314">
        <f t="shared" si="32"/>
        <v>6.6666666666666666E-2</v>
      </c>
      <c r="M230" s="14"/>
      <c r="N230" s="14"/>
      <c r="O230" s="14">
        <f>SUM(D229:D230)</f>
        <v>30</v>
      </c>
      <c r="P230" s="14">
        <f>SUM(E229:E230)</f>
        <v>233</v>
      </c>
      <c r="Q230" s="38">
        <f>+P230/O230</f>
        <v>7.7666666666666666</v>
      </c>
      <c r="R230" s="14">
        <f>SUM(G229:G230)</f>
        <v>80</v>
      </c>
      <c r="S230" s="38">
        <f>+R230/O230</f>
        <v>2.6666666666666665</v>
      </c>
      <c r="T230" s="14">
        <f>SUM(I229:I230)</f>
        <v>4</v>
      </c>
      <c r="U230" s="113">
        <f>+T230/O230</f>
        <v>0.13333333333333333</v>
      </c>
      <c r="V230" s="14">
        <f>SUM(K229:K230)</f>
        <v>1</v>
      </c>
      <c r="W230" s="171">
        <f>+V230/O230</f>
        <v>3.3333333333333333E-2</v>
      </c>
    </row>
    <row r="231" spans="1:23" x14ac:dyDescent="0.15">
      <c r="A231" s="107" t="s">
        <v>441</v>
      </c>
      <c r="B231" s="237">
        <v>0.48472222222222222</v>
      </c>
      <c r="C231" s="237">
        <v>0.4916666666666667</v>
      </c>
      <c r="D231" s="14">
        <v>10</v>
      </c>
      <c r="E231" s="64">
        <v>65</v>
      </c>
      <c r="F231" s="314">
        <f t="shared" si="29"/>
        <v>6.5</v>
      </c>
      <c r="G231" s="64">
        <v>10</v>
      </c>
      <c r="H231" s="25">
        <f t="shared" si="30"/>
        <v>1</v>
      </c>
      <c r="I231" s="64">
        <v>5</v>
      </c>
      <c r="J231" s="299">
        <f t="shared" si="31"/>
        <v>0.5</v>
      </c>
      <c r="K231" s="64">
        <v>0</v>
      </c>
      <c r="L231" s="314">
        <f t="shared" si="32"/>
        <v>0</v>
      </c>
      <c r="M231" s="64" t="s">
        <v>424</v>
      </c>
      <c r="N231" s="14"/>
      <c r="O231" s="14"/>
      <c r="P231" s="64" t="s">
        <v>18</v>
      </c>
      <c r="Q231" s="14"/>
      <c r="R231" s="14"/>
      <c r="S231" s="14"/>
      <c r="T231" s="14"/>
      <c r="U231" s="14"/>
      <c r="V231" s="14"/>
      <c r="W231" s="136"/>
    </row>
    <row r="232" spans="1:23" x14ac:dyDescent="0.15">
      <c r="A232" s="80"/>
      <c r="B232" s="237">
        <v>0.53055555555555556</v>
      </c>
      <c r="C232" s="237">
        <v>0.53749999999999998</v>
      </c>
      <c r="D232" s="14">
        <v>10</v>
      </c>
      <c r="E232" s="64">
        <v>108</v>
      </c>
      <c r="F232" s="314">
        <f t="shared" si="29"/>
        <v>10.8</v>
      </c>
      <c r="G232" s="64">
        <v>5</v>
      </c>
      <c r="H232" s="25">
        <f t="shared" si="30"/>
        <v>0.5</v>
      </c>
      <c r="I232" s="64">
        <v>3</v>
      </c>
      <c r="J232" s="299">
        <f t="shared" si="31"/>
        <v>0.3</v>
      </c>
      <c r="K232" s="64">
        <v>0</v>
      </c>
      <c r="L232" s="314">
        <f t="shared" si="32"/>
        <v>0</v>
      </c>
      <c r="M232" s="64" t="s">
        <v>424</v>
      </c>
      <c r="N232" s="14"/>
      <c r="O232" s="14">
        <f>SUM(D231:D232)</f>
        <v>20</v>
      </c>
      <c r="P232" s="14">
        <f>SUM(E231:E232)</f>
        <v>173</v>
      </c>
      <c r="Q232" s="38">
        <f>+P232/O232</f>
        <v>8.65</v>
      </c>
      <c r="R232" s="14">
        <f>SUM(G231:G232)</f>
        <v>15</v>
      </c>
      <c r="S232" s="38">
        <f>+R232/O232</f>
        <v>0.75</v>
      </c>
      <c r="T232" s="14">
        <f>SUM(I231:I232)</f>
        <v>8</v>
      </c>
      <c r="U232" s="113">
        <f>+T232/O232</f>
        <v>0.4</v>
      </c>
      <c r="V232" s="14">
        <f>SUM(K231:K232)</f>
        <v>0</v>
      </c>
      <c r="W232" s="171">
        <f>+V232/O232</f>
        <v>0</v>
      </c>
    </row>
    <row r="233" spans="1:23" x14ac:dyDescent="0.15">
      <c r="A233" s="107" t="s">
        <v>442</v>
      </c>
      <c r="B233" s="237">
        <v>0.49305555555555558</v>
      </c>
      <c r="C233" s="237">
        <v>0.50347222222222221</v>
      </c>
      <c r="D233" s="14">
        <v>15</v>
      </c>
      <c r="E233" s="64">
        <v>134</v>
      </c>
      <c r="F233" s="314">
        <f t="shared" si="29"/>
        <v>8.9333333333333336</v>
      </c>
      <c r="G233" s="64">
        <v>25</v>
      </c>
      <c r="H233" s="25">
        <f t="shared" si="30"/>
        <v>1.6666666666666667</v>
      </c>
      <c r="I233" s="64">
        <v>4</v>
      </c>
      <c r="J233" s="299">
        <f t="shared" si="31"/>
        <v>0.26666666666666666</v>
      </c>
      <c r="K233" s="64">
        <v>0</v>
      </c>
      <c r="L233" s="314">
        <f t="shared" si="32"/>
        <v>0</v>
      </c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36"/>
    </row>
    <row r="234" spans="1:23" x14ac:dyDescent="0.15">
      <c r="A234" s="80"/>
      <c r="B234" s="237">
        <v>0.53472222222222221</v>
      </c>
      <c r="C234" s="237">
        <v>4.5138888888888888E-2</v>
      </c>
      <c r="D234" s="14">
        <v>15</v>
      </c>
      <c r="E234" s="64">
        <v>91</v>
      </c>
      <c r="F234" s="314">
        <f t="shared" si="29"/>
        <v>6.0666666666666664</v>
      </c>
      <c r="G234" s="64">
        <v>20</v>
      </c>
      <c r="H234" s="25">
        <f t="shared" si="30"/>
        <v>1.3333333333333333</v>
      </c>
      <c r="I234" s="64">
        <v>4</v>
      </c>
      <c r="J234" s="299">
        <f t="shared" si="31"/>
        <v>0.26666666666666666</v>
      </c>
      <c r="K234" s="64">
        <v>0</v>
      </c>
      <c r="L234" s="314">
        <f t="shared" si="32"/>
        <v>0</v>
      </c>
      <c r="M234" s="14"/>
      <c r="N234" s="64" t="s">
        <v>18</v>
      </c>
      <c r="O234" s="14">
        <f>SUM(D233:D234)</f>
        <v>30</v>
      </c>
      <c r="P234" s="14">
        <f>SUM(E233:E234)</f>
        <v>225</v>
      </c>
      <c r="Q234" s="38">
        <f>+P234/O234</f>
        <v>7.5</v>
      </c>
      <c r="R234" s="14">
        <f>SUM(G233:G234)</f>
        <v>45</v>
      </c>
      <c r="S234" s="38">
        <f>+R234/O234</f>
        <v>1.5</v>
      </c>
      <c r="T234" s="14">
        <f>SUM(I233:I234)</f>
        <v>8</v>
      </c>
      <c r="U234" s="113">
        <f>+T234/O234</f>
        <v>0.26666666666666666</v>
      </c>
      <c r="V234" s="14">
        <f>SUM(K233:K234)</f>
        <v>0</v>
      </c>
      <c r="W234" s="171">
        <f>+V234/O234</f>
        <v>0</v>
      </c>
    </row>
    <row r="235" spans="1:23" x14ac:dyDescent="0.15">
      <c r="A235" s="107" t="s">
        <v>443</v>
      </c>
      <c r="B235" s="237">
        <v>0.47638888888888892</v>
      </c>
      <c r="C235" s="237">
        <v>0.48333333333333334</v>
      </c>
      <c r="D235" s="14">
        <v>10</v>
      </c>
      <c r="E235" s="64">
        <v>36</v>
      </c>
      <c r="F235" s="314">
        <f t="shared" si="29"/>
        <v>3.6</v>
      </c>
      <c r="G235" s="64">
        <v>4</v>
      </c>
      <c r="H235" s="25">
        <f t="shared" si="30"/>
        <v>0.4</v>
      </c>
      <c r="I235" s="64">
        <v>2</v>
      </c>
      <c r="J235" s="299">
        <f t="shared" si="31"/>
        <v>0.2</v>
      </c>
      <c r="K235" s="64">
        <v>1</v>
      </c>
      <c r="L235" s="314">
        <f t="shared" si="32"/>
        <v>0.1</v>
      </c>
      <c r="M235" s="64" t="s">
        <v>421</v>
      </c>
      <c r="N235" s="14"/>
      <c r="O235" s="14"/>
      <c r="P235" s="14"/>
      <c r="Q235" s="14"/>
      <c r="R235" s="14"/>
      <c r="S235" s="14"/>
      <c r="T235" s="14"/>
      <c r="U235" s="14"/>
      <c r="V235" s="14"/>
      <c r="W235" s="136"/>
    </row>
    <row r="236" spans="1:23" x14ac:dyDescent="0.15">
      <c r="A236" s="80"/>
      <c r="B236" s="237">
        <v>0.52152777777777781</v>
      </c>
      <c r="C236" s="237">
        <v>0.52847222222222223</v>
      </c>
      <c r="D236" s="14">
        <v>10</v>
      </c>
      <c r="E236" s="64">
        <v>55</v>
      </c>
      <c r="F236" s="314">
        <f t="shared" si="29"/>
        <v>5.5</v>
      </c>
      <c r="G236" s="64">
        <v>4</v>
      </c>
      <c r="H236" s="25">
        <f t="shared" si="30"/>
        <v>0.4</v>
      </c>
      <c r="I236" s="64">
        <v>1</v>
      </c>
      <c r="J236" s="299">
        <f t="shared" si="31"/>
        <v>0.1</v>
      </c>
      <c r="K236" s="64">
        <v>0</v>
      </c>
      <c r="L236" s="314">
        <f t="shared" si="32"/>
        <v>0</v>
      </c>
      <c r="M236" s="14"/>
      <c r="N236" s="14"/>
      <c r="O236" s="14">
        <f>SUM(D235:D236)</f>
        <v>20</v>
      </c>
      <c r="P236" s="14">
        <f>SUM(E235:E236)</f>
        <v>91</v>
      </c>
      <c r="Q236" s="38">
        <f>+P236/O236</f>
        <v>4.55</v>
      </c>
      <c r="R236" s="14">
        <f>SUM(G235:G236)</f>
        <v>8</v>
      </c>
      <c r="S236" s="38">
        <f>+R236/O236</f>
        <v>0.4</v>
      </c>
      <c r="T236" s="14">
        <f>SUM(I235:I236)</f>
        <v>3</v>
      </c>
      <c r="U236" s="113">
        <f>+T236/O236</f>
        <v>0.15</v>
      </c>
      <c r="V236" s="14">
        <f>SUM(K235:K236)</f>
        <v>1</v>
      </c>
      <c r="W236" s="171">
        <f>+V236/O236</f>
        <v>0.05</v>
      </c>
    </row>
    <row r="237" spans="1:23" x14ac:dyDescent="0.15">
      <c r="A237" s="107" t="s">
        <v>444</v>
      </c>
      <c r="B237" s="237">
        <v>0.46527777777777773</v>
      </c>
      <c r="C237" s="237">
        <v>0.47569444444444442</v>
      </c>
      <c r="D237" s="14">
        <v>15</v>
      </c>
      <c r="E237" s="64">
        <v>97</v>
      </c>
      <c r="F237" s="314">
        <f t="shared" si="29"/>
        <v>6.4666666666666668</v>
      </c>
      <c r="G237" s="64">
        <v>19</v>
      </c>
      <c r="H237" s="314">
        <f t="shared" si="30"/>
        <v>1.2666666666666666</v>
      </c>
      <c r="I237" s="64">
        <v>4</v>
      </c>
      <c r="J237" s="299">
        <f t="shared" si="31"/>
        <v>0.26666666666666666</v>
      </c>
      <c r="K237" s="64">
        <v>0</v>
      </c>
      <c r="L237" s="314">
        <f t="shared" si="32"/>
        <v>0</v>
      </c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36"/>
    </row>
    <row r="238" spans="1:23" ht="14" thickBot="1" x14ac:dyDescent="0.2">
      <c r="A238" s="80"/>
      <c r="B238" s="237">
        <v>0.50694444444444442</v>
      </c>
      <c r="C238" s="237">
        <v>0.51736111111111105</v>
      </c>
      <c r="D238" s="14">
        <v>15</v>
      </c>
      <c r="E238" s="64">
        <v>108</v>
      </c>
      <c r="F238" s="314">
        <f t="shared" si="29"/>
        <v>7.2</v>
      </c>
      <c r="G238" s="64">
        <v>13</v>
      </c>
      <c r="H238" s="314">
        <f t="shared" si="30"/>
        <v>0.8666666666666667</v>
      </c>
      <c r="I238" s="64">
        <v>0</v>
      </c>
      <c r="J238" s="299">
        <f t="shared" si="31"/>
        <v>0</v>
      </c>
      <c r="K238" s="64">
        <v>0</v>
      </c>
      <c r="L238" s="314">
        <f t="shared" si="32"/>
        <v>0</v>
      </c>
      <c r="M238" s="14"/>
      <c r="N238" s="14"/>
      <c r="O238" s="14">
        <f>SUM(D237:D238)</f>
        <v>30</v>
      </c>
      <c r="P238" s="14">
        <f>SUM(E237:E238)</f>
        <v>205</v>
      </c>
      <c r="Q238" s="38">
        <f>+P238/O238</f>
        <v>6.833333333333333</v>
      </c>
      <c r="R238" s="14">
        <f>SUM(G237:G238)</f>
        <v>32</v>
      </c>
      <c r="S238" s="38">
        <f>+R238/O238</f>
        <v>1.0666666666666667</v>
      </c>
      <c r="T238" s="14">
        <f>SUM(I237:I238)</f>
        <v>4</v>
      </c>
      <c r="U238" s="113">
        <f>+T238/O238</f>
        <v>0.13333333333333333</v>
      </c>
      <c r="V238" s="14">
        <f>SUM(K237:K238)</f>
        <v>0</v>
      </c>
      <c r="W238" s="171">
        <f>+V238/O238</f>
        <v>0</v>
      </c>
    </row>
    <row r="239" spans="1:23" ht="14" thickBot="1" x14ac:dyDescent="0.2">
      <c r="A239" s="503" t="s">
        <v>217</v>
      </c>
      <c r="B239" s="14"/>
      <c r="C239" s="14"/>
      <c r="D239" s="14"/>
      <c r="E239" s="14"/>
      <c r="F239" s="14"/>
      <c r="G239" s="14"/>
      <c r="H239" s="14"/>
      <c r="I239" s="14"/>
      <c r="J239" s="299" t="s">
        <v>18</v>
      </c>
      <c r="K239" s="14"/>
      <c r="L239" s="14"/>
      <c r="M239" s="14"/>
      <c r="N239" s="307" t="s">
        <v>214</v>
      </c>
      <c r="O239" s="308">
        <f>SUM(O217:O238)</f>
        <v>280</v>
      </c>
      <c r="P239" s="308">
        <f>SUM(P217:P238)</f>
        <v>2085</v>
      </c>
      <c r="Q239" s="325">
        <f>+P239/O239</f>
        <v>7.4464285714285712</v>
      </c>
      <c r="R239" s="308">
        <f>SUM(R217:R238)</f>
        <v>562</v>
      </c>
      <c r="S239" s="325">
        <f>+R239/O239</f>
        <v>2.0071428571428571</v>
      </c>
      <c r="T239" s="308">
        <f>SUM(T217:T238)</f>
        <v>49</v>
      </c>
      <c r="U239" s="325">
        <f>+T239/O239</f>
        <v>0.17499999999999999</v>
      </c>
      <c r="V239" s="308">
        <f>SUM(V217:V238)</f>
        <v>4</v>
      </c>
      <c r="W239" s="326">
        <f>+V239/O239</f>
        <v>1.4285714285714285E-2</v>
      </c>
    </row>
    <row r="240" spans="1:23" x14ac:dyDescent="0.15">
      <c r="A240" s="107" t="s">
        <v>434</v>
      </c>
      <c r="B240" s="237">
        <v>0.67361111111111116</v>
      </c>
      <c r="C240" s="237">
        <v>0.68402777777777779</v>
      </c>
      <c r="D240" s="14">
        <v>15</v>
      </c>
      <c r="E240" s="14">
        <v>37</v>
      </c>
      <c r="F240" s="314">
        <f t="shared" si="29"/>
        <v>2.4666666666666668</v>
      </c>
      <c r="G240" s="14">
        <v>16</v>
      </c>
      <c r="H240" s="314">
        <f t="shared" si="30"/>
        <v>1.0666666666666667</v>
      </c>
      <c r="I240" s="14">
        <v>10</v>
      </c>
      <c r="J240" s="299">
        <f t="shared" si="31"/>
        <v>0.66666666666666663</v>
      </c>
      <c r="K240" s="14">
        <v>1</v>
      </c>
      <c r="L240" s="314">
        <f t="shared" si="32"/>
        <v>6.6666666666666666E-2</v>
      </c>
      <c r="M240" s="14"/>
      <c r="N240" s="14"/>
      <c r="O240" s="14"/>
      <c r="P240" s="14"/>
      <c r="Q240" s="64" t="s">
        <v>18</v>
      </c>
      <c r="R240" s="14"/>
      <c r="S240" s="64" t="s">
        <v>18</v>
      </c>
      <c r="T240" s="14"/>
      <c r="U240" s="64" t="s">
        <v>18</v>
      </c>
      <c r="V240" s="14"/>
      <c r="W240" s="136"/>
    </row>
    <row r="241" spans="1:23" x14ac:dyDescent="0.15">
      <c r="A241" s="80"/>
      <c r="B241" s="237">
        <v>0.71527777777777779</v>
      </c>
      <c r="C241" s="237">
        <v>0.72569444444444453</v>
      </c>
      <c r="D241" s="14">
        <v>15</v>
      </c>
      <c r="E241" s="14">
        <v>44</v>
      </c>
      <c r="F241" s="314">
        <f t="shared" si="29"/>
        <v>2.9333333333333331</v>
      </c>
      <c r="G241" s="14">
        <v>26</v>
      </c>
      <c r="H241" s="314">
        <f t="shared" si="30"/>
        <v>1.7333333333333334</v>
      </c>
      <c r="I241" s="14">
        <v>4</v>
      </c>
      <c r="J241" s="299">
        <f t="shared" si="31"/>
        <v>0.26666666666666666</v>
      </c>
      <c r="K241" s="14">
        <v>0</v>
      </c>
      <c r="L241" s="314">
        <f t="shared" si="32"/>
        <v>0</v>
      </c>
      <c r="M241" s="14"/>
      <c r="N241" s="14"/>
      <c r="O241" s="14">
        <f>SUM(D240:D241)</f>
        <v>30</v>
      </c>
      <c r="P241" s="14">
        <f>SUM(E240:E241)</f>
        <v>81</v>
      </c>
      <c r="Q241" s="38">
        <f>+P241/O241</f>
        <v>2.7</v>
      </c>
      <c r="R241" s="14">
        <f>SUM(G240:G241)</f>
        <v>42</v>
      </c>
      <c r="S241" s="38">
        <f>+R241/O241</f>
        <v>1.4</v>
      </c>
      <c r="T241" s="14">
        <f>SUM(I240:I241)</f>
        <v>14</v>
      </c>
      <c r="U241" s="113">
        <f>+T241/O241</f>
        <v>0.46666666666666667</v>
      </c>
      <c r="V241" s="14">
        <f>SUM(K240:K241)</f>
        <v>1</v>
      </c>
      <c r="W241" s="171">
        <f>+V241/O241</f>
        <v>3.3333333333333333E-2</v>
      </c>
    </row>
    <row r="242" spans="1:23" x14ac:dyDescent="0.15">
      <c r="A242" s="107" t="s">
        <v>435</v>
      </c>
      <c r="B242" s="251">
        <v>0.66666666666666663</v>
      </c>
      <c r="C242" s="237">
        <v>0.67361111111111116</v>
      </c>
      <c r="D242" s="14">
        <v>10</v>
      </c>
      <c r="E242" s="14">
        <v>29</v>
      </c>
      <c r="F242" s="314">
        <f t="shared" si="29"/>
        <v>2.9</v>
      </c>
      <c r="G242" s="14">
        <v>7</v>
      </c>
      <c r="H242" s="314">
        <f t="shared" si="30"/>
        <v>0.7</v>
      </c>
      <c r="I242" s="14">
        <v>0</v>
      </c>
      <c r="J242" s="299">
        <f t="shared" si="31"/>
        <v>0</v>
      </c>
      <c r="K242" s="14">
        <v>0</v>
      </c>
      <c r="L242" s="314">
        <f t="shared" si="32"/>
        <v>0</v>
      </c>
      <c r="M242" s="14"/>
      <c r="N242" s="64" t="s">
        <v>18</v>
      </c>
      <c r="O242" s="14"/>
      <c r="P242" s="14"/>
      <c r="Q242" s="14"/>
      <c r="R242" s="14"/>
      <c r="S242" s="14"/>
      <c r="T242" s="14"/>
      <c r="U242" s="14"/>
      <c r="V242" s="14"/>
      <c r="W242" s="136"/>
    </row>
    <row r="243" spans="1:23" x14ac:dyDescent="0.15">
      <c r="A243" s="80"/>
      <c r="B243" s="237">
        <v>0.71875</v>
      </c>
      <c r="C243" s="237">
        <v>0.72569444444444453</v>
      </c>
      <c r="D243" s="14">
        <v>10</v>
      </c>
      <c r="E243" s="14">
        <v>54</v>
      </c>
      <c r="F243" s="314">
        <f t="shared" si="29"/>
        <v>5.4</v>
      </c>
      <c r="G243" s="14">
        <v>18</v>
      </c>
      <c r="H243" s="314">
        <f t="shared" si="30"/>
        <v>1.8</v>
      </c>
      <c r="I243" s="14">
        <v>0</v>
      </c>
      <c r="J243" s="299">
        <f t="shared" si="31"/>
        <v>0</v>
      </c>
      <c r="K243" s="14">
        <v>0</v>
      </c>
      <c r="L243" s="314">
        <f t="shared" si="32"/>
        <v>0</v>
      </c>
      <c r="M243" s="64" t="s">
        <v>18</v>
      </c>
      <c r="N243" s="14"/>
      <c r="O243" s="14">
        <f>SUM(D242:D243)</f>
        <v>20</v>
      </c>
      <c r="P243" s="14">
        <f>SUM(E242:E243)</f>
        <v>83</v>
      </c>
      <c r="Q243" s="38">
        <f>+P243/O243</f>
        <v>4.1500000000000004</v>
      </c>
      <c r="R243" s="14">
        <f>SUM(G242:G243)</f>
        <v>25</v>
      </c>
      <c r="S243" s="38">
        <f>+R243/O243</f>
        <v>1.25</v>
      </c>
      <c r="T243" s="14">
        <f>SUM(I242:I243)</f>
        <v>0</v>
      </c>
      <c r="U243" s="113">
        <f>+T243/O243</f>
        <v>0</v>
      </c>
      <c r="V243" s="14">
        <f>SUM(K242:K243)</f>
        <v>0</v>
      </c>
      <c r="W243" s="171">
        <f>+V243/O243</f>
        <v>0</v>
      </c>
    </row>
    <row r="244" spans="1:23" x14ac:dyDescent="0.15">
      <c r="A244" s="107" t="s">
        <v>436</v>
      </c>
      <c r="B244" s="237">
        <v>0.71527777777777779</v>
      </c>
      <c r="C244" s="237">
        <v>0.72569444444444453</v>
      </c>
      <c r="D244" s="14">
        <v>15</v>
      </c>
      <c r="E244" s="14">
        <v>80</v>
      </c>
      <c r="F244" s="314">
        <f t="shared" si="29"/>
        <v>5.333333333333333</v>
      </c>
      <c r="G244" s="14">
        <v>32</v>
      </c>
      <c r="H244" s="314">
        <f t="shared" si="30"/>
        <v>2.1333333333333333</v>
      </c>
      <c r="I244" s="14">
        <v>3</v>
      </c>
      <c r="J244" s="299">
        <f t="shared" si="31"/>
        <v>0.2</v>
      </c>
      <c r="K244" s="14">
        <v>0</v>
      </c>
      <c r="L244" s="314">
        <f t="shared" si="32"/>
        <v>0</v>
      </c>
      <c r="M244" s="64" t="s">
        <v>18</v>
      </c>
      <c r="N244" s="14"/>
      <c r="O244" s="14"/>
      <c r="P244" s="14"/>
      <c r="Q244" s="14"/>
      <c r="R244" s="14"/>
      <c r="S244" s="14"/>
      <c r="T244" s="14"/>
      <c r="U244" s="14"/>
      <c r="V244" s="14"/>
      <c r="W244" s="136"/>
    </row>
    <row r="245" spans="1:23" x14ac:dyDescent="0.15">
      <c r="A245" s="80"/>
      <c r="B245" s="237">
        <v>0.74305555555555547</v>
      </c>
      <c r="C245" s="237">
        <v>0.75347222222222221</v>
      </c>
      <c r="D245" s="14">
        <v>15</v>
      </c>
      <c r="E245" s="14">
        <v>121</v>
      </c>
      <c r="F245" s="314">
        <f t="shared" si="29"/>
        <v>8.0666666666666664</v>
      </c>
      <c r="G245" s="14">
        <v>36</v>
      </c>
      <c r="H245" s="314">
        <f t="shared" si="30"/>
        <v>2.4</v>
      </c>
      <c r="I245" s="14">
        <v>12</v>
      </c>
      <c r="J245" s="299">
        <f t="shared" si="31"/>
        <v>0.8</v>
      </c>
      <c r="K245" s="14">
        <v>5</v>
      </c>
      <c r="L245" s="314">
        <f t="shared" si="32"/>
        <v>0.33333333333333331</v>
      </c>
      <c r="M245" s="14"/>
      <c r="N245" s="14"/>
      <c r="O245" s="14">
        <f>SUM(D244:D245)</f>
        <v>30</v>
      </c>
      <c r="P245" s="14">
        <f>SUM(E244:E245)</f>
        <v>201</v>
      </c>
      <c r="Q245" s="38">
        <f>+P245/O245</f>
        <v>6.7</v>
      </c>
      <c r="R245" s="14">
        <f>SUM(G244:G245)</f>
        <v>68</v>
      </c>
      <c r="S245" s="38">
        <f>+R245/O245</f>
        <v>2.2666666666666666</v>
      </c>
      <c r="T245" s="14">
        <f>SUM(I244:I245)</f>
        <v>15</v>
      </c>
      <c r="U245" s="113">
        <f>+T245/O245</f>
        <v>0.5</v>
      </c>
      <c r="V245" s="14">
        <f>SUM(K244:K245)</f>
        <v>5</v>
      </c>
      <c r="W245" s="171">
        <f>+V245/O245</f>
        <v>0.16666666666666666</v>
      </c>
    </row>
    <row r="246" spans="1:23" x14ac:dyDescent="0.15">
      <c r="A246" s="107" t="s">
        <v>437</v>
      </c>
      <c r="B246" s="251">
        <v>0.67569444444444438</v>
      </c>
      <c r="C246" s="237">
        <v>0.68263888888888891</v>
      </c>
      <c r="D246" s="14">
        <v>10</v>
      </c>
      <c r="E246" s="14">
        <v>66</v>
      </c>
      <c r="F246" s="314">
        <f t="shared" si="29"/>
        <v>6.6</v>
      </c>
      <c r="G246" s="14">
        <v>7</v>
      </c>
      <c r="H246" s="314">
        <f t="shared" si="30"/>
        <v>0.7</v>
      </c>
      <c r="I246" s="14">
        <v>0</v>
      </c>
      <c r="J246" s="299">
        <f t="shared" si="31"/>
        <v>0</v>
      </c>
      <c r="K246" s="64">
        <v>0</v>
      </c>
      <c r="L246" s="314">
        <f t="shared" si="32"/>
        <v>0</v>
      </c>
      <c r="M246" s="14"/>
      <c r="N246" s="64" t="s">
        <v>18</v>
      </c>
      <c r="O246" s="14"/>
      <c r="P246" s="14"/>
      <c r="Q246" s="14"/>
      <c r="R246" s="14"/>
      <c r="S246" s="14"/>
      <c r="T246" s="14"/>
      <c r="U246" s="14"/>
      <c r="V246" s="14"/>
      <c r="W246" s="136"/>
    </row>
    <row r="247" spans="1:23" x14ac:dyDescent="0.15">
      <c r="A247" s="80"/>
      <c r="B247" s="251">
        <v>0.7055555555555556</v>
      </c>
      <c r="C247" s="237">
        <v>0.71250000000000002</v>
      </c>
      <c r="D247" s="14">
        <v>10</v>
      </c>
      <c r="E247" s="14">
        <v>87</v>
      </c>
      <c r="F247" s="314">
        <f t="shared" si="29"/>
        <v>8.6999999999999993</v>
      </c>
      <c r="G247" s="14">
        <v>10</v>
      </c>
      <c r="H247" s="314">
        <f t="shared" si="30"/>
        <v>1</v>
      </c>
      <c r="I247" s="316">
        <v>0</v>
      </c>
      <c r="J247" s="299">
        <f t="shared" si="31"/>
        <v>0</v>
      </c>
      <c r="K247" s="64">
        <v>0</v>
      </c>
      <c r="L247" s="314">
        <f t="shared" si="32"/>
        <v>0</v>
      </c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36"/>
    </row>
    <row r="248" spans="1:23" x14ac:dyDescent="0.15">
      <c r="A248" s="80"/>
      <c r="B248" s="237">
        <v>0.74791666666666667</v>
      </c>
      <c r="C248" s="237">
        <v>0.75486111111111109</v>
      </c>
      <c r="D248" s="14">
        <v>10</v>
      </c>
      <c r="E248" s="14">
        <v>112</v>
      </c>
      <c r="F248" s="314">
        <f t="shared" si="29"/>
        <v>11.2</v>
      </c>
      <c r="G248" s="14">
        <v>12</v>
      </c>
      <c r="H248" s="314">
        <f t="shared" si="30"/>
        <v>1.2</v>
      </c>
      <c r="I248" s="14">
        <v>2</v>
      </c>
      <c r="J248" s="299">
        <f t="shared" si="31"/>
        <v>0.2</v>
      </c>
      <c r="K248" s="64">
        <v>0</v>
      </c>
      <c r="L248" s="314">
        <f t="shared" si="32"/>
        <v>0</v>
      </c>
      <c r="M248" s="64" t="s">
        <v>424</v>
      </c>
      <c r="N248" s="14"/>
      <c r="O248" s="14">
        <f>SUM(D246:D248)</f>
        <v>30</v>
      </c>
      <c r="P248" s="14">
        <f>SUM(E246:E248)</f>
        <v>265</v>
      </c>
      <c r="Q248" s="38">
        <f>+P248/O248</f>
        <v>8.8333333333333339</v>
      </c>
      <c r="R248" s="14">
        <f>SUM(G246:G248)</f>
        <v>29</v>
      </c>
      <c r="S248" s="38">
        <f>+R248/O248</f>
        <v>0.96666666666666667</v>
      </c>
      <c r="T248" s="14">
        <f>SUM(I246:I248)</f>
        <v>2</v>
      </c>
      <c r="U248" s="113">
        <f>+T248/O248</f>
        <v>6.6666666666666666E-2</v>
      </c>
      <c r="V248" s="14">
        <f>SUM(K246:K248)</f>
        <v>0</v>
      </c>
      <c r="W248" s="171">
        <f>+V248/O248</f>
        <v>0</v>
      </c>
    </row>
    <row r="249" spans="1:23" x14ac:dyDescent="0.15">
      <c r="A249" s="107" t="s">
        <v>438</v>
      </c>
      <c r="B249" s="237">
        <v>0.6875</v>
      </c>
      <c r="C249" s="237">
        <v>0.69791666666666663</v>
      </c>
      <c r="D249" s="14">
        <v>15</v>
      </c>
      <c r="E249" s="14">
        <v>99</v>
      </c>
      <c r="F249" s="314">
        <f t="shared" si="29"/>
        <v>6.6</v>
      </c>
      <c r="G249" s="14">
        <v>33</v>
      </c>
      <c r="H249" s="314">
        <f t="shared" si="30"/>
        <v>2.2000000000000002</v>
      </c>
      <c r="I249" s="14">
        <v>3</v>
      </c>
      <c r="J249" s="299">
        <f t="shared" si="31"/>
        <v>0.2</v>
      </c>
      <c r="K249" s="64">
        <v>1</v>
      </c>
      <c r="L249" s="314">
        <f t="shared" si="32"/>
        <v>6.6666666666666666E-2</v>
      </c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36"/>
    </row>
    <row r="250" spans="1:23" x14ac:dyDescent="0.15">
      <c r="A250" s="80"/>
      <c r="B250" s="237">
        <v>0.72916666666666663</v>
      </c>
      <c r="C250" s="237">
        <v>0.73958333333333337</v>
      </c>
      <c r="D250" s="14">
        <v>15</v>
      </c>
      <c r="E250" s="14">
        <v>80</v>
      </c>
      <c r="F250" s="314">
        <f t="shared" si="29"/>
        <v>5.333333333333333</v>
      </c>
      <c r="G250" s="14">
        <v>40</v>
      </c>
      <c r="H250" s="314">
        <f t="shared" si="30"/>
        <v>2.6666666666666665</v>
      </c>
      <c r="I250" s="14">
        <v>9</v>
      </c>
      <c r="J250" s="299">
        <f t="shared" si="31"/>
        <v>0.6</v>
      </c>
      <c r="K250" s="64">
        <v>4</v>
      </c>
      <c r="L250" s="314">
        <f t="shared" si="32"/>
        <v>0.26666666666666666</v>
      </c>
      <c r="M250" s="14"/>
      <c r="N250" s="14"/>
      <c r="O250" s="14">
        <f>SUM(D249:D250)</f>
        <v>30</v>
      </c>
      <c r="P250" s="14">
        <f>SUM(E249:E250)</f>
        <v>179</v>
      </c>
      <c r="Q250" s="38">
        <f>+P250/O250</f>
        <v>5.9666666666666668</v>
      </c>
      <c r="R250" s="14">
        <f>SUM(G249:G250)</f>
        <v>73</v>
      </c>
      <c r="S250" s="38">
        <f>+R250/O250</f>
        <v>2.4333333333333331</v>
      </c>
      <c r="T250" s="14">
        <f>SUM(I249:I250)</f>
        <v>12</v>
      </c>
      <c r="U250" s="113">
        <f>+T250/O250</f>
        <v>0.4</v>
      </c>
      <c r="V250" s="14">
        <f>SUM(K249:K250)</f>
        <v>5</v>
      </c>
      <c r="W250" s="171">
        <f>+V250/O250</f>
        <v>0.16666666666666666</v>
      </c>
    </row>
    <row r="251" spans="1:23" x14ac:dyDescent="0.15">
      <c r="A251" s="107" t="s">
        <v>439</v>
      </c>
      <c r="B251" s="251">
        <v>0.66666666666666663</v>
      </c>
      <c r="C251" s="237">
        <v>0.67361111111111116</v>
      </c>
      <c r="D251" s="14">
        <v>10</v>
      </c>
      <c r="E251" s="14">
        <v>29</v>
      </c>
      <c r="F251" s="314">
        <f t="shared" si="29"/>
        <v>2.9</v>
      </c>
      <c r="G251" s="14">
        <v>7</v>
      </c>
      <c r="H251" s="314">
        <f t="shared" si="30"/>
        <v>0.7</v>
      </c>
      <c r="I251" s="14">
        <v>0</v>
      </c>
      <c r="J251" s="299">
        <f t="shared" si="31"/>
        <v>0</v>
      </c>
      <c r="K251" s="64">
        <v>0</v>
      </c>
      <c r="L251" s="314">
        <f t="shared" si="32"/>
        <v>0</v>
      </c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36"/>
    </row>
    <row r="252" spans="1:23" x14ac:dyDescent="0.15">
      <c r="A252" s="80"/>
      <c r="B252" s="237">
        <v>0.72638888888888886</v>
      </c>
      <c r="C252" s="237">
        <v>0.73333333333333339</v>
      </c>
      <c r="D252" s="14">
        <v>10</v>
      </c>
      <c r="E252" s="14">
        <v>80</v>
      </c>
      <c r="F252" s="314">
        <f t="shared" si="29"/>
        <v>8</v>
      </c>
      <c r="G252" s="14">
        <v>13</v>
      </c>
      <c r="H252" s="314">
        <f t="shared" si="30"/>
        <v>1.3</v>
      </c>
      <c r="I252" s="14">
        <v>0</v>
      </c>
      <c r="J252" s="299">
        <f t="shared" si="31"/>
        <v>0</v>
      </c>
      <c r="K252" s="64">
        <v>0</v>
      </c>
      <c r="L252" s="314">
        <f t="shared" si="32"/>
        <v>0</v>
      </c>
      <c r="M252" s="14"/>
      <c r="N252" s="14"/>
      <c r="O252" s="14">
        <f>SUM(D251:D252)</f>
        <v>20</v>
      </c>
      <c r="P252" s="14">
        <f>SUM(E251:E252)</f>
        <v>109</v>
      </c>
      <c r="Q252" s="38">
        <f>+P252/O252</f>
        <v>5.45</v>
      </c>
      <c r="R252" s="14">
        <f>SUM(G251:G252)</f>
        <v>20</v>
      </c>
      <c r="S252" s="38">
        <f>+R252/O252</f>
        <v>1</v>
      </c>
      <c r="T252" s="14">
        <f>SUM(I251:I252)</f>
        <v>0</v>
      </c>
      <c r="U252" s="113">
        <f>+T252/O252</f>
        <v>0</v>
      </c>
      <c r="V252" s="14">
        <f>SUM(K251:K252)</f>
        <v>0</v>
      </c>
      <c r="W252" s="171">
        <f>+V252/O252</f>
        <v>0</v>
      </c>
    </row>
    <row r="253" spans="1:23" x14ac:dyDescent="0.15">
      <c r="A253" s="107" t="s">
        <v>440</v>
      </c>
      <c r="B253" s="237">
        <v>0.70138888888888884</v>
      </c>
      <c r="C253" s="237">
        <v>0.71180555555555547</v>
      </c>
      <c r="D253" s="14">
        <v>15</v>
      </c>
      <c r="E253" s="14">
        <v>50</v>
      </c>
      <c r="F253" s="314">
        <f t="shared" si="29"/>
        <v>3.3333333333333335</v>
      </c>
      <c r="G253" s="14">
        <v>16</v>
      </c>
      <c r="H253" s="314">
        <f t="shared" si="30"/>
        <v>1.0666666666666667</v>
      </c>
      <c r="I253" s="14">
        <v>9</v>
      </c>
      <c r="J253" s="299">
        <f t="shared" si="31"/>
        <v>0.6</v>
      </c>
      <c r="K253" s="64">
        <v>4</v>
      </c>
      <c r="L253" s="314">
        <f t="shared" si="32"/>
        <v>0.26666666666666666</v>
      </c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36"/>
    </row>
    <row r="254" spans="1:23" x14ac:dyDescent="0.15">
      <c r="A254" s="80"/>
      <c r="B254" s="237">
        <v>0.72916666666666663</v>
      </c>
      <c r="C254" s="237">
        <v>0.73958333333333337</v>
      </c>
      <c r="D254" s="14">
        <v>15</v>
      </c>
      <c r="E254" s="14">
        <v>78</v>
      </c>
      <c r="F254" s="314">
        <f t="shared" si="29"/>
        <v>5.2</v>
      </c>
      <c r="G254" s="14">
        <v>15</v>
      </c>
      <c r="H254" s="314">
        <f t="shared" si="30"/>
        <v>1</v>
      </c>
      <c r="I254" s="14">
        <v>4</v>
      </c>
      <c r="J254" s="299">
        <f t="shared" si="31"/>
        <v>0.26666666666666666</v>
      </c>
      <c r="K254" s="64">
        <v>4</v>
      </c>
      <c r="L254" s="314">
        <f t="shared" si="32"/>
        <v>0.26666666666666666</v>
      </c>
      <c r="M254" s="14"/>
      <c r="N254" s="14"/>
      <c r="O254" s="14">
        <f>SUM(D253:D254)</f>
        <v>30</v>
      </c>
      <c r="P254" s="14">
        <f>SUM(E253:E254)</f>
        <v>128</v>
      </c>
      <c r="Q254" s="38">
        <f>+P254/O254</f>
        <v>4.2666666666666666</v>
      </c>
      <c r="R254" s="14">
        <f>SUM(G253:G254)</f>
        <v>31</v>
      </c>
      <c r="S254" s="38">
        <f>+R254/O254</f>
        <v>1.0333333333333334</v>
      </c>
      <c r="T254" s="14">
        <f>SUM(I253:I254)</f>
        <v>13</v>
      </c>
      <c r="U254" s="113">
        <f>+T254/O254</f>
        <v>0.43333333333333335</v>
      </c>
      <c r="V254" s="14">
        <f>SUM(K253:K254)</f>
        <v>8</v>
      </c>
      <c r="W254" s="171">
        <f>+V254/O254</f>
        <v>0.26666666666666666</v>
      </c>
    </row>
    <row r="255" spans="1:23" x14ac:dyDescent="0.15">
      <c r="A255" s="107" t="s">
        <v>441</v>
      </c>
      <c r="B255" s="237">
        <v>0.69513888888888886</v>
      </c>
      <c r="C255" s="237">
        <v>0.70208333333333339</v>
      </c>
      <c r="D255" s="14">
        <v>10</v>
      </c>
      <c r="E255" s="14">
        <v>48</v>
      </c>
      <c r="F255" s="314">
        <f t="shared" si="29"/>
        <v>4.8</v>
      </c>
      <c r="G255" s="14">
        <v>6</v>
      </c>
      <c r="H255" s="314">
        <f t="shared" si="30"/>
        <v>0.6</v>
      </c>
      <c r="I255" s="14">
        <v>0</v>
      </c>
      <c r="J255" s="299">
        <f t="shared" si="31"/>
        <v>0</v>
      </c>
      <c r="K255" s="64">
        <v>0</v>
      </c>
      <c r="L255" s="314">
        <f t="shared" si="32"/>
        <v>0</v>
      </c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36"/>
    </row>
    <row r="256" spans="1:23" x14ac:dyDescent="0.15">
      <c r="A256" s="80"/>
      <c r="B256" s="237">
        <v>0.74513888888888891</v>
      </c>
      <c r="C256" s="237">
        <v>0.75208333333333333</v>
      </c>
      <c r="D256" s="14">
        <v>10</v>
      </c>
      <c r="E256" s="14">
        <v>80</v>
      </c>
      <c r="F256" s="314">
        <f t="shared" si="29"/>
        <v>8</v>
      </c>
      <c r="G256" s="14">
        <v>2</v>
      </c>
      <c r="H256" s="314">
        <f t="shared" si="30"/>
        <v>0.2</v>
      </c>
      <c r="I256" s="14">
        <v>0</v>
      </c>
      <c r="J256" s="299">
        <f t="shared" si="31"/>
        <v>0</v>
      </c>
      <c r="K256" s="64">
        <v>0</v>
      </c>
      <c r="L256" s="314">
        <f t="shared" si="32"/>
        <v>0</v>
      </c>
      <c r="M256" s="14"/>
      <c r="N256" s="64" t="s">
        <v>18</v>
      </c>
      <c r="O256" s="14">
        <f>SUM(D255:D256)</f>
        <v>20</v>
      </c>
      <c r="P256" s="14">
        <f>SUM(E255:E256)</f>
        <v>128</v>
      </c>
      <c r="Q256" s="38">
        <f>+P256/O256</f>
        <v>6.4</v>
      </c>
      <c r="R256" s="14">
        <f>SUM(G255:G256)</f>
        <v>8</v>
      </c>
      <c r="S256" s="38">
        <f>+R256/O256</f>
        <v>0.4</v>
      </c>
      <c r="T256" s="14">
        <f>SUM(I255:I256)</f>
        <v>0</v>
      </c>
      <c r="U256" s="113">
        <f>+T256/O256</f>
        <v>0</v>
      </c>
      <c r="V256" s="14">
        <f>SUM(K255:K256)</f>
        <v>0</v>
      </c>
      <c r="W256" s="171">
        <f>+V256/O256</f>
        <v>0</v>
      </c>
    </row>
    <row r="257" spans="1:26" x14ac:dyDescent="0.15">
      <c r="A257" s="107" t="s">
        <v>442</v>
      </c>
      <c r="B257" s="251">
        <v>0.70138888888888884</v>
      </c>
      <c r="C257" s="237">
        <v>0.71180555555555547</v>
      </c>
      <c r="D257" s="14">
        <v>15</v>
      </c>
      <c r="E257" s="14">
        <v>49</v>
      </c>
      <c r="F257" s="314">
        <f t="shared" si="29"/>
        <v>3.2666666666666666</v>
      </c>
      <c r="G257" s="14">
        <v>18</v>
      </c>
      <c r="H257" s="314">
        <f t="shared" si="30"/>
        <v>1.2</v>
      </c>
      <c r="I257" s="14">
        <v>10</v>
      </c>
      <c r="J257" s="299">
        <f t="shared" si="31"/>
        <v>0.66666666666666663</v>
      </c>
      <c r="K257" s="64">
        <v>1</v>
      </c>
      <c r="L257" s="314">
        <f t="shared" si="32"/>
        <v>6.6666666666666666E-2</v>
      </c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36"/>
    </row>
    <row r="258" spans="1:26" x14ac:dyDescent="0.15">
      <c r="A258" s="80"/>
      <c r="B258" s="237">
        <v>0.75277777777777777</v>
      </c>
      <c r="C258" s="237">
        <v>0.7631944444444444</v>
      </c>
      <c r="D258" s="14">
        <v>15</v>
      </c>
      <c r="E258" s="14">
        <v>62</v>
      </c>
      <c r="F258" s="314">
        <f t="shared" si="29"/>
        <v>4.1333333333333337</v>
      </c>
      <c r="G258" s="14">
        <v>14</v>
      </c>
      <c r="H258" s="314">
        <f t="shared" si="30"/>
        <v>0.93333333333333335</v>
      </c>
      <c r="I258" s="14">
        <v>1</v>
      </c>
      <c r="J258" s="299">
        <f t="shared" si="31"/>
        <v>6.6666666666666666E-2</v>
      </c>
      <c r="K258" s="64">
        <v>3</v>
      </c>
      <c r="L258" s="314">
        <f t="shared" si="32"/>
        <v>0.2</v>
      </c>
      <c r="M258" s="14"/>
      <c r="N258" s="14"/>
      <c r="O258" s="14">
        <f>SUM(D257:D258)</f>
        <v>30</v>
      </c>
      <c r="P258" s="14">
        <f>SUM(E257:E258)</f>
        <v>111</v>
      </c>
      <c r="Q258" s="38">
        <f>+P258/O258</f>
        <v>3.7</v>
      </c>
      <c r="R258" s="14">
        <f>SUM(G257:G258)</f>
        <v>32</v>
      </c>
      <c r="S258" s="38">
        <f>+R258/O258</f>
        <v>1.0666666666666667</v>
      </c>
      <c r="T258" s="14">
        <f>SUM(I257:I258)</f>
        <v>11</v>
      </c>
      <c r="U258" s="113">
        <f>+T258/O258</f>
        <v>0.36666666666666664</v>
      </c>
      <c r="V258" s="14">
        <f>SUM(K257:K258)</f>
        <v>4</v>
      </c>
      <c r="W258" s="171">
        <f>+V258/O258</f>
        <v>0.13333333333333333</v>
      </c>
    </row>
    <row r="259" spans="1:26" x14ac:dyDescent="0.15">
      <c r="A259" s="107" t="s">
        <v>443</v>
      </c>
      <c r="B259" s="251">
        <v>0.68472222222222223</v>
      </c>
      <c r="C259" s="237">
        <v>0.69166666666666676</v>
      </c>
      <c r="D259" s="14">
        <v>10</v>
      </c>
      <c r="E259" s="14">
        <v>37</v>
      </c>
      <c r="F259" s="314">
        <f t="shared" si="29"/>
        <v>3.7</v>
      </c>
      <c r="G259" s="14">
        <v>0</v>
      </c>
      <c r="H259" s="314">
        <f t="shared" si="30"/>
        <v>0</v>
      </c>
      <c r="I259" s="14">
        <v>0</v>
      </c>
      <c r="J259" s="299">
        <f t="shared" si="31"/>
        <v>0</v>
      </c>
      <c r="K259" s="64">
        <v>0</v>
      </c>
      <c r="L259" s="314">
        <f t="shared" si="32"/>
        <v>0</v>
      </c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36"/>
    </row>
    <row r="260" spans="1:26" x14ac:dyDescent="0.15">
      <c r="A260" s="80"/>
      <c r="B260" s="237">
        <v>0.72916666666666663</v>
      </c>
      <c r="C260" s="237">
        <v>0.73611111111111116</v>
      </c>
      <c r="D260" s="14">
        <v>10</v>
      </c>
      <c r="E260" s="14">
        <v>38</v>
      </c>
      <c r="F260" s="314">
        <f t="shared" si="29"/>
        <v>3.8</v>
      </c>
      <c r="G260" s="14">
        <v>4</v>
      </c>
      <c r="H260" s="314">
        <f t="shared" si="30"/>
        <v>0.4</v>
      </c>
      <c r="I260" s="14">
        <v>0</v>
      </c>
      <c r="J260" s="299">
        <f t="shared" si="31"/>
        <v>0</v>
      </c>
      <c r="K260" s="64">
        <v>0</v>
      </c>
      <c r="L260" s="314">
        <f t="shared" si="32"/>
        <v>0</v>
      </c>
      <c r="M260" s="14"/>
      <c r="N260" s="14"/>
      <c r="O260" s="14">
        <f>SUM(D259:D260)</f>
        <v>20</v>
      </c>
      <c r="P260" s="14">
        <f>SUM(E259:E260)</f>
        <v>75</v>
      </c>
      <c r="Q260" s="38">
        <f>+P260/O260</f>
        <v>3.75</v>
      </c>
      <c r="R260" s="14">
        <f>SUM(G259:G260)</f>
        <v>4</v>
      </c>
      <c r="S260" s="38">
        <f>+R260/O260</f>
        <v>0.2</v>
      </c>
      <c r="T260" s="14">
        <f>SUM(I259:I260)</f>
        <v>0</v>
      </c>
      <c r="U260" s="113">
        <f>+T260/O260</f>
        <v>0</v>
      </c>
      <c r="V260" s="14">
        <f>SUM(K259:K260)</f>
        <v>0</v>
      </c>
      <c r="W260" s="171">
        <f>+V260/O260</f>
        <v>0</v>
      </c>
    </row>
    <row r="261" spans="1:26" x14ac:dyDescent="0.15">
      <c r="A261" s="107" t="s">
        <v>444</v>
      </c>
      <c r="B261" s="237">
        <v>0.6875</v>
      </c>
      <c r="C261" s="237">
        <v>0.69791666666666663</v>
      </c>
      <c r="D261" s="14">
        <v>15</v>
      </c>
      <c r="E261" s="14">
        <v>52</v>
      </c>
      <c r="F261" s="314">
        <f t="shared" si="29"/>
        <v>3.4666666666666668</v>
      </c>
      <c r="G261" s="14">
        <v>6</v>
      </c>
      <c r="H261" s="314">
        <f t="shared" si="30"/>
        <v>0.4</v>
      </c>
      <c r="I261" s="14">
        <v>3</v>
      </c>
      <c r="J261" s="299">
        <f t="shared" si="31"/>
        <v>0.2</v>
      </c>
      <c r="K261" s="64">
        <v>2</v>
      </c>
      <c r="L261" s="314">
        <f t="shared" si="32"/>
        <v>0.13333333333333333</v>
      </c>
      <c r="M261" s="14"/>
      <c r="N261" s="64" t="s">
        <v>18</v>
      </c>
      <c r="O261" s="14"/>
      <c r="P261" s="14"/>
      <c r="Q261" s="14"/>
      <c r="R261" s="14"/>
      <c r="S261" s="14"/>
      <c r="T261" s="14"/>
      <c r="U261" s="14"/>
      <c r="V261" s="14"/>
      <c r="W261" s="136"/>
    </row>
    <row r="262" spans="1:26" ht="14" thickBot="1" x14ac:dyDescent="0.2">
      <c r="A262" s="80"/>
      <c r="B262" s="237">
        <v>0.71527777777777779</v>
      </c>
      <c r="C262" s="237">
        <v>0.72569444444444453</v>
      </c>
      <c r="D262" s="14">
        <v>15</v>
      </c>
      <c r="E262" s="14">
        <v>53</v>
      </c>
      <c r="F262" s="314">
        <f t="shared" si="29"/>
        <v>3.5333333333333332</v>
      </c>
      <c r="G262" s="14">
        <v>19</v>
      </c>
      <c r="H262" s="314">
        <f t="shared" si="30"/>
        <v>1.2666666666666666</v>
      </c>
      <c r="I262" s="14">
        <v>11</v>
      </c>
      <c r="J262" s="299">
        <f t="shared" si="31"/>
        <v>0.73333333333333328</v>
      </c>
      <c r="K262" s="64">
        <v>3</v>
      </c>
      <c r="L262" s="314">
        <f t="shared" si="32"/>
        <v>0.2</v>
      </c>
      <c r="M262" s="14"/>
      <c r="N262" s="14"/>
      <c r="O262" s="14">
        <f>SUM(D261:D262)</f>
        <v>30</v>
      </c>
      <c r="P262" s="14">
        <f>SUM(E261:E262)</f>
        <v>105</v>
      </c>
      <c r="Q262" s="38">
        <f>+P262/O262</f>
        <v>3.5</v>
      </c>
      <c r="R262" s="14">
        <f>SUM(G261:G262)</f>
        <v>25</v>
      </c>
      <c r="S262" s="38">
        <f>+R262/O262</f>
        <v>0.83333333333333337</v>
      </c>
      <c r="T262" s="14">
        <f>SUM(I261:I262)</f>
        <v>14</v>
      </c>
      <c r="U262" s="113">
        <f>+T262/O262</f>
        <v>0.46666666666666667</v>
      </c>
      <c r="V262" s="14">
        <f>SUM(K261:K262)</f>
        <v>5</v>
      </c>
      <c r="W262" s="171">
        <f>+V262/O262</f>
        <v>0.16666666666666666</v>
      </c>
      <c r="Y262" s="2" t="s">
        <v>18</v>
      </c>
      <c r="Z262" s="2" t="s">
        <v>18</v>
      </c>
    </row>
    <row r="263" spans="1:26" ht="14" thickBot="1" x14ac:dyDescent="0.2">
      <c r="A263" s="42" t="s">
        <v>68</v>
      </c>
      <c r="B263" s="44"/>
      <c r="C263" s="44"/>
      <c r="D263" s="309">
        <f>SUM(D217:D262)</f>
        <v>570</v>
      </c>
      <c r="E263" s="309">
        <f>SUM(E217:E262)</f>
        <v>3550</v>
      </c>
      <c r="F263" s="829">
        <f t="shared" si="29"/>
        <v>6.2280701754385968</v>
      </c>
      <c r="G263" s="309">
        <f>SUM(G217:G262)</f>
        <v>919</v>
      </c>
      <c r="H263" s="829">
        <f t="shared" si="30"/>
        <v>1.6122807017543859</v>
      </c>
      <c r="I263" s="309">
        <f>SUM(I217:I262)</f>
        <v>130</v>
      </c>
      <c r="J263" s="829">
        <f t="shared" si="31"/>
        <v>0.22807017543859648</v>
      </c>
      <c r="K263" s="309">
        <f>SUM(K217:K262)</f>
        <v>32</v>
      </c>
      <c r="L263" s="829">
        <f t="shared" si="32"/>
        <v>5.6140350877192984E-2</v>
      </c>
      <c r="M263" s="44"/>
      <c r="N263" s="96" t="s">
        <v>218</v>
      </c>
      <c r="O263" s="309">
        <f>SUM(O241:O262)</f>
        <v>290</v>
      </c>
      <c r="P263" s="309">
        <f>SUM(P241:P262)</f>
        <v>1465</v>
      </c>
      <c r="Q263" s="323">
        <f>+P263/O263</f>
        <v>5.0517241379310347</v>
      </c>
      <c r="R263" s="309">
        <f>SUM(R241:R262)</f>
        <v>357</v>
      </c>
      <c r="S263" s="323">
        <f>+R263/O263</f>
        <v>1.2310344827586206</v>
      </c>
      <c r="T263" s="309">
        <f>SUM(T241:T262)</f>
        <v>81</v>
      </c>
      <c r="U263" s="323">
        <f>+T263/O263</f>
        <v>0.27931034482758621</v>
      </c>
      <c r="V263" s="309">
        <f>SUM(V241:V262)</f>
        <v>28</v>
      </c>
      <c r="W263" s="327">
        <f>+V263/O263</f>
        <v>9.6551724137931033E-2</v>
      </c>
    </row>
    <row r="264" spans="1:26" ht="14" thickBot="1" x14ac:dyDescent="0.2">
      <c r="A264" s="332" t="s">
        <v>455</v>
      </c>
      <c r="B264" s="44"/>
      <c r="C264" s="44"/>
      <c r="D264" s="309">
        <f>+D263</f>
        <v>570</v>
      </c>
      <c r="E264" s="331">
        <f>+E263+G263</f>
        <v>4469</v>
      </c>
      <c r="F264" s="328">
        <f t="shared" si="29"/>
        <v>7.8403508771929822</v>
      </c>
      <c r="G264" s="309"/>
      <c r="H264" s="317" t="s">
        <v>18</v>
      </c>
      <c r="I264" s="309"/>
      <c r="J264" s="317"/>
      <c r="K264" s="309"/>
      <c r="L264" s="317"/>
      <c r="M264" s="44"/>
      <c r="N264" s="96"/>
      <c r="O264" s="309"/>
      <c r="P264" s="309"/>
      <c r="Q264" s="310"/>
      <c r="R264" s="309"/>
      <c r="S264" s="310"/>
      <c r="T264" s="309"/>
      <c r="U264" s="310"/>
      <c r="V264" s="309"/>
      <c r="W264" s="318"/>
    </row>
    <row r="265" spans="1:26" ht="14" thickBot="1" x14ac:dyDescent="0.2">
      <c r="A265" s="332" t="s">
        <v>456</v>
      </c>
      <c r="B265" s="44"/>
      <c r="C265" s="44"/>
      <c r="D265" s="309">
        <f>+D263</f>
        <v>570</v>
      </c>
      <c r="E265" s="331">
        <f>+I263+K263</f>
        <v>162</v>
      </c>
      <c r="F265" s="328">
        <f t="shared" si="29"/>
        <v>0.28421052631578947</v>
      </c>
      <c r="G265" s="309"/>
      <c r="H265" s="317" t="s">
        <v>18</v>
      </c>
      <c r="I265" s="309"/>
      <c r="J265" s="317"/>
      <c r="K265" s="309"/>
      <c r="L265" s="317"/>
      <c r="M265" s="44"/>
      <c r="N265" s="96"/>
      <c r="O265" s="309"/>
      <c r="P265" s="309"/>
      <c r="Q265" s="310"/>
      <c r="R265" s="309"/>
      <c r="S265" s="310"/>
      <c r="T265" s="309"/>
      <c r="U265" s="310"/>
      <c r="V265" s="309"/>
      <c r="W265" s="318"/>
    </row>
    <row r="266" spans="1:26" ht="14" thickBot="1" x14ac:dyDescent="0.2">
      <c r="A266" s="844" t="s">
        <v>802</v>
      </c>
      <c r="B266" s="44"/>
      <c r="C266" s="44"/>
      <c r="D266" s="309">
        <f>+D265</f>
        <v>570</v>
      </c>
      <c r="E266" s="331">
        <f>+E264+E265</f>
        <v>4631</v>
      </c>
      <c r="F266" s="328">
        <f>+E266/D266</f>
        <v>8.1245614035087712</v>
      </c>
      <c r="G266" s="309"/>
      <c r="H266" s="317"/>
      <c r="I266" s="309"/>
      <c r="J266" s="317"/>
      <c r="K266" s="309"/>
      <c r="L266" s="317"/>
      <c r="M266" s="44"/>
      <c r="N266" s="96"/>
      <c r="O266" s="309"/>
      <c r="P266" s="309"/>
      <c r="Q266" s="310"/>
      <c r="R266" s="309"/>
      <c r="S266" s="310"/>
      <c r="T266" s="309"/>
      <c r="U266" s="310"/>
      <c r="V266" s="309"/>
      <c r="W266" s="318"/>
    </row>
    <row r="267" spans="1:26" ht="14" thickBot="1" x14ac:dyDescent="0.2">
      <c r="A267" s="339"/>
      <c r="B267" s="340"/>
      <c r="C267" s="340"/>
      <c r="D267" s="340"/>
      <c r="E267" s="340"/>
      <c r="F267" s="340"/>
      <c r="G267" s="340"/>
      <c r="H267" s="340"/>
      <c r="I267" s="340"/>
      <c r="J267" s="340"/>
      <c r="K267" s="340"/>
      <c r="L267" s="340"/>
      <c r="M267" s="340"/>
      <c r="N267" s="340"/>
      <c r="O267" s="340"/>
      <c r="P267" s="340"/>
      <c r="Q267" s="341" t="s">
        <v>18</v>
      </c>
      <c r="R267" s="340"/>
      <c r="S267" s="340"/>
      <c r="T267" s="341" t="s">
        <v>18</v>
      </c>
      <c r="U267" s="340"/>
      <c r="V267" s="340"/>
      <c r="W267" s="342"/>
    </row>
    <row r="268" spans="1:26" ht="14" thickBot="1" x14ac:dyDescent="0.2">
      <c r="A268" s="201" t="s">
        <v>12</v>
      </c>
      <c r="B268" s="154"/>
      <c r="C268" s="154"/>
      <c r="D268" s="154" t="s">
        <v>18</v>
      </c>
      <c r="E268" s="154"/>
      <c r="F268" s="155" t="s">
        <v>169</v>
      </c>
      <c r="G268" s="155" t="s">
        <v>170</v>
      </c>
      <c r="H268" s="155" t="s">
        <v>220</v>
      </c>
      <c r="I268" s="155" t="s">
        <v>184</v>
      </c>
      <c r="J268" s="155"/>
      <c r="K268" s="50"/>
      <c r="L268" s="50"/>
      <c r="M268" s="50"/>
      <c r="N268" s="263" t="s">
        <v>18</v>
      </c>
      <c r="O268" s="263"/>
      <c r="P268" s="263"/>
      <c r="Q268" s="263" t="s">
        <v>18</v>
      </c>
      <c r="R268" s="263"/>
      <c r="S268" s="263"/>
      <c r="T268" s="263"/>
      <c r="U268" s="263"/>
      <c r="V268" s="263"/>
      <c r="W268" s="315"/>
    </row>
    <row r="269" spans="1:26" x14ac:dyDescent="0.15">
      <c r="A269" s="202" t="s">
        <v>440</v>
      </c>
      <c r="B269" s="163" t="s">
        <v>213</v>
      </c>
      <c r="C269" s="164"/>
      <c r="D269" s="21"/>
      <c r="E269" s="19"/>
      <c r="F269" s="64" t="s">
        <v>446</v>
      </c>
      <c r="G269" s="235" t="s">
        <v>415</v>
      </c>
      <c r="H269" s="26" t="s">
        <v>172</v>
      </c>
      <c r="I269" s="230" t="s">
        <v>185</v>
      </c>
      <c r="J269" s="230" t="s">
        <v>18</v>
      </c>
      <c r="K269" s="230" t="s">
        <v>18</v>
      </c>
      <c r="L269" s="19" t="s">
        <v>18</v>
      </c>
      <c r="M269" s="19"/>
      <c r="N269" s="163" t="s">
        <v>213</v>
      </c>
      <c r="O269" s="164"/>
      <c r="P269" s="14" t="s">
        <v>18</v>
      </c>
      <c r="Q269" s="14"/>
      <c r="R269" s="64" t="s">
        <v>18</v>
      </c>
      <c r="S269" s="14"/>
      <c r="T269" s="14"/>
      <c r="U269" s="14"/>
      <c r="V269" s="14"/>
      <c r="W269" s="136"/>
    </row>
    <row r="270" spans="1:26" ht="14" thickBot="1" x14ac:dyDescent="0.2">
      <c r="A270" s="80"/>
      <c r="B270" s="158" t="s">
        <v>215</v>
      </c>
      <c r="C270" s="165"/>
      <c r="D270" s="19"/>
      <c r="E270" s="19"/>
      <c r="F270" s="19"/>
      <c r="G270" s="235" t="s">
        <v>414</v>
      </c>
      <c r="H270" s="235" t="s">
        <v>447</v>
      </c>
      <c r="I270" s="19" t="s">
        <v>18</v>
      </c>
      <c r="J270" s="19"/>
      <c r="K270" s="19"/>
      <c r="L270" s="19"/>
      <c r="M270" s="19"/>
      <c r="N270" s="156" t="s">
        <v>215</v>
      </c>
      <c r="O270" s="199"/>
      <c r="P270" s="13"/>
      <c r="Q270" s="14"/>
      <c r="R270" s="14"/>
      <c r="S270" s="14"/>
      <c r="T270" s="14"/>
      <c r="U270" s="14"/>
      <c r="V270" s="14"/>
      <c r="W270" s="136"/>
    </row>
    <row r="271" spans="1:26" x14ac:dyDescent="0.15">
      <c r="A271" s="149" t="s">
        <v>216</v>
      </c>
      <c r="B271" s="32" t="s">
        <v>188</v>
      </c>
      <c r="C271" s="32" t="s">
        <v>188</v>
      </c>
      <c r="D271" s="32" t="s">
        <v>206</v>
      </c>
      <c r="E271" s="32" t="s">
        <v>197</v>
      </c>
      <c r="F271" s="32" t="s">
        <v>209</v>
      </c>
      <c r="G271" s="32" t="s">
        <v>197</v>
      </c>
      <c r="H271" s="32" t="s">
        <v>209</v>
      </c>
      <c r="I271" s="32" t="s">
        <v>201</v>
      </c>
      <c r="J271" s="32" t="s">
        <v>209</v>
      </c>
      <c r="K271" s="32" t="s">
        <v>203</v>
      </c>
      <c r="L271" s="32" t="s">
        <v>209</v>
      </c>
      <c r="M271" s="32"/>
      <c r="N271" s="32" t="s">
        <v>18</v>
      </c>
      <c r="O271" s="32" t="s">
        <v>206</v>
      </c>
      <c r="P271" s="32" t="s">
        <v>197</v>
      </c>
      <c r="Q271" s="32" t="s">
        <v>209</v>
      </c>
      <c r="R271" s="32" t="s">
        <v>197</v>
      </c>
      <c r="S271" s="32" t="s">
        <v>209</v>
      </c>
      <c r="T271" s="32" t="s">
        <v>201</v>
      </c>
      <c r="U271" s="32" t="s">
        <v>209</v>
      </c>
      <c r="V271" s="32" t="s">
        <v>203</v>
      </c>
      <c r="W271" s="151" t="s">
        <v>209</v>
      </c>
    </row>
    <row r="272" spans="1:26" ht="14" thickBot="1" x14ac:dyDescent="0.2">
      <c r="A272" s="150" t="s">
        <v>353</v>
      </c>
      <c r="B272" s="33" t="s">
        <v>207</v>
      </c>
      <c r="C272" s="33" t="s">
        <v>208</v>
      </c>
      <c r="D272" s="33" t="s">
        <v>205</v>
      </c>
      <c r="E272" s="33" t="s">
        <v>198</v>
      </c>
      <c r="F272" s="33" t="s">
        <v>210</v>
      </c>
      <c r="G272" s="33" t="s">
        <v>199</v>
      </c>
      <c r="H272" s="33" t="s">
        <v>210</v>
      </c>
      <c r="I272" s="33" t="s">
        <v>200</v>
      </c>
      <c r="J272" s="33" t="s">
        <v>210</v>
      </c>
      <c r="K272" s="33" t="s">
        <v>204</v>
      </c>
      <c r="L272" s="33" t="s">
        <v>210</v>
      </c>
      <c r="M272" s="33"/>
      <c r="N272" s="33"/>
      <c r="O272" s="33" t="s">
        <v>205</v>
      </c>
      <c r="P272" s="33" t="s">
        <v>198</v>
      </c>
      <c r="Q272" s="33" t="s">
        <v>210</v>
      </c>
      <c r="R272" s="33" t="s">
        <v>199</v>
      </c>
      <c r="S272" s="33" t="s">
        <v>210</v>
      </c>
      <c r="T272" s="33" t="s">
        <v>200</v>
      </c>
      <c r="U272" s="33" t="s">
        <v>210</v>
      </c>
      <c r="V272" s="33" t="s">
        <v>204</v>
      </c>
      <c r="W272" s="152" t="s">
        <v>210</v>
      </c>
    </row>
    <row r="273" spans="1:23" x14ac:dyDescent="0.15">
      <c r="A273" s="107" t="s">
        <v>448</v>
      </c>
      <c r="B273" s="237">
        <v>0.46319444444444446</v>
      </c>
      <c r="C273" s="237">
        <v>0.47361111111111115</v>
      </c>
      <c r="D273" s="14">
        <v>15</v>
      </c>
      <c r="E273" s="14">
        <v>32</v>
      </c>
      <c r="F273" s="314">
        <f t="shared" ref="F273:F315" si="33">+E273/D273</f>
        <v>2.1333333333333333</v>
      </c>
      <c r="G273" s="14">
        <v>15</v>
      </c>
      <c r="H273" s="314">
        <f t="shared" ref="H273:H314" si="34">+G273/D273</f>
        <v>1</v>
      </c>
      <c r="I273" s="14">
        <v>3</v>
      </c>
      <c r="J273" s="299">
        <f>+I273/D273</f>
        <v>0.2</v>
      </c>
      <c r="K273" s="14">
        <v>0</v>
      </c>
      <c r="L273" s="314">
        <f>+K273/D273</f>
        <v>0</v>
      </c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36"/>
    </row>
    <row r="274" spans="1:23" x14ac:dyDescent="0.15">
      <c r="A274" s="80"/>
      <c r="B274" s="237">
        <v>0.51458333333333328</v>
      </c>
      <c r="C274" s="237">
        <v>0.52500000000000002</v>
      </c>
      <c r="D274" s="14">
        <v>15</v>
      </c>
      <c r="E274" s="14">
        <v>125</v>
      </c>
      <c r="F274" s="314">
        <f t="shared" si="33"/>
        <v>8.3333333333333339</v>
      </c>
      <c r="G274" s="14">
        <v>22</v>
      </c>
      <c r="H274" s="314">
        <f t="shared" si="34"/>
        <v>1.4666666666666666</v>
      </c>
      <c r="I274" s="14">
        <v>5</v>
      </c>
      <c r="J274" s="299">
        <f>+I274/D274</f>
        <v>0.33333333333333331</v>
      </c>
      <c r="K274" s="14">
        <v>0</v>
      </c>
      <c r="L274" s="314">
        <f>+K274/D274</f>
        <v>0</v>
      </c>
      <c r="M274" s="14"/>
      <c r="N274" s="14"/>
      <c r="O274" s="14">
        <f>SUM(D273:D274)</f>
        <v>30</v>
      </c>
      <c r="P274" s="14">
        <f>SUM(E273:E274)</f>
        <v>157</v>
      </c>
      <c r="Q274" s="38">
        <f>+P274/O274</f>
        <v>5.2333333333333334</v>
      </c>
      <c r="R274" s="14">
        <f>SUM(G273:G274)</f>
        <v>37</v>
      </c>
      <c r="S274" s="38">
        <f>+R274/O274</f>
        <v>1.2333333333333334</v>
      </c>
      <c r="T274" s="14">
        <f>SUM(I273:I274)</f>
        <v>8</v>
      </c>
      <c r="U274" s="113">
        <f>+T274/O274</f>
        <v>0.26666666666666666</v>
      </c>
      <c r="V274" s="14">
        <f>SUM(K273:K274)</f>
        <v>0</v>
      </c>
      <c r="W274" s="171">
        <f>+V274/O274</f>
        <v>0</v>
      </c>
    </row>
    <row r="275" spans="1:23" x14ac:dyDescent="0.15">
      <c r="A275" s="107" t="s">
        <v>454</v>
      </c>
      <c r="B275" s="237">
        <v>0.46527777777777773</v>
      </c>
      <c r="C275" s="237">
        <v>0.47222222222222227</v>
      </c>
      <c r="D275" s="14">
        <v>10</v>
      </c>
      <c r="E275" s="14">
        <v>32</v>
      </c>
      <c r="F275" s="314">
        <f t="shared" si="33"/>
        <v>3.2</v>
      </c>
      <c r="G275" s="14">
        <v>11</v>
      </c>
      <c r="H275" s="314">
        <f t="shared" si="34"/>
        <v>1.1000000000000001</v>
      </c>
      <c r="I275" s="30"/>
      <c r="J275" s="30"/>
      <c r="K275" s="30"/>
      <c r="L275" s="30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36"/>
    </row>
    <row r="276" spans="1:23" x14ac:dyDescent="0.15">
      <c r="A276" s="91" t="s">
        <v>18</v>
      </c>
      <c r="B276" s="237">
        <v>0.5</v>
      </c>
      <c r="C276" s="237">
        <v>0.50694444444444442</v>
      </c>
      <c r="D276" s="14">
        <v>10</v>
      </c>
      <c r="E276" s="14">
        <v>75</v>
      </c>
      <c r="F276" s="314">
        <f t="shared" si="33"/>
        <v>7.5</v>
      </c>
      <c r="G276" s="14">
        <v>25</v>
      </c>
      <c r="H276" s="314">
        <f t="shared" si="34"/>
        <v>2.5</v>
      </c>
      <c r="I276" s="30"/>
      <c r="J276" s="30"/>
      <c r="K276" s="30"/>
      <c r="L276" s="30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36"/>
    </row>
    <row r="277" spans="1:23" x14ac:dyDescent="0.15">
      <c r="A277" s="80"/>
      <c r="B277" s="237">
        <v>0.53333333333333333</v>
      </c>
      <c r="C277" s="237">
        <v>0.54027777777777775</v>
      </c>
      <c r="D277" s="14">
        <v>10</v>
      </c>
      <c r="E277" s="14">
        <v>102</v>
      </c>
      <c r="F277" s="314">
        <f t="shared" si="33"/>
        <v>10.199999999999999</v>
      </c>
      <c r="G277" s="14">
        <v>25</v>
      </c>
      <c r="H277" s="314">
        <f t="shared" si="34"/>
        <v>2.5</v>
      </c>
      <c r="I277" s="30"/>
      <c r="J277" s="30"/>
      <c r="K277" s="239" t="s">
        <v>18</v>
      </c>
      <c r="L277" s="30"/>
      <c r="M277" s="14"/>
      <c r="N277" s="14"/>
      <c r="O277" s="14">
        <f>SUM(D275:D277)</f>
        <v>30</v>
      </c>
      <c r="P277" s="14">
        <f>SUM(E275:E277)</f>
        <v>209</v>
      </c>
      <c r="Q277" s="38">
        <f>+P277/O277</f>
        <v>6.9666666666666668</v>
      </c>
      <c r="R277" s="14">
        <f>SUM(G275:G277)</f>
        <v>61</v>
      </c>
      <c r="S277" s="38">
        <f>+R277/O277</f>
        <v>2.0333333333333332</v>
      </c>
      <c r="T277" s="64" t="s">
        <v>18</v>
      </c>
      <c r="U277" s="113" t="s">
        <v>18</v>
      </c>
      <c r="V277" s="64" t="s">
        <v>18</v>
      </c>
      <c r="W277" s="330" t="s">
        <v>18</v>
      </c>
    </row>
    <row r="278" spans="1:23" x14ac:dyDescent="0.15">
      <c r="A278" s="107" t="s">
        <v>449</v>
      </c>
      <c r="B278" s="237">
        <v>0.50208333333333333</v>
      </c>
      <c r="C278" s="237">
        <v>0.51250000000000007</v>
      </c>
      <c r="D278" s="14">
        <v>15</v>
      </c>
      <c r="E278" s="14">
        <v>194</v>
      </c>
      <c r="F278" s="314">
        <f t="shared" si="33"/>
        <v>12.933333333333334</v>
      </c>
      <c r="G278" s="14">
        <v>48</v>
      </c>
      <c r="H278" s="314">
        <f t="shared" si="34"/>
        <v>3.2</v>
      </c>
      <c r="I278" s="14">
        <v>3</v>
      </c>
      <c r="J278" s="299">
        <f>+I278/D278</f>
        <v>0.2</v>
      </c>
      <c r="K278" s="14">
        <v>0</v>
      </c>
      <c r="L278" s="314">
        <f>+K278/D278</f>
        <v>0</v>
      </c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36"/>
    </row>
    <row r="279" spans="1:23" x14ac:dyDescent="0.15">
      <c r="A279" s="80"/>
      <c r="B279" s="237">
        <v>0.55208333333333337</v>
      </c>
      <c r="C279" s="237">
        <v>0.5625</v>
      </c>
      <c r="D279" s="14">
        <v>15</v>
      </c>
      <c r="E279" s="14">
        <v>170</v>
      </c>
      <c r="F279" s="314">
        <f t="shared" si="33"/>
        <v>11.333333333333334</v>
      </c>
      <c r="G279" s="14">
        <v>48</v>
      </c>
      <c r="H279" s="314">
        <f t="shared" si="34"/>
        <v>3.2</v>
      </c>
      <c r="I279" s="14">
        <v>5</v>
      </c>
      <c r="J279" s="299">
        <f>+I279/D279</f>
        <v>0.33333333333333331</v>
      </c>
      <c r="K279" s="14">
        <v>0</v>
      </c>
      <c r="L279" s="314">
        <f>+K279/D279</f>
        <v>0</v>
      </c>
      <c r="M279" s="14"/>
      <c r="N279" s="14"/>
      <c r="O279" s="14">
        <f>SUM(D278:D279)</f>
        <v>30</v>
      </c>
      <c r="P279" s="14">
        <f>SUM(E278:E279)</f>
        <v>364</v>
      </c>
      <c r="Q279" s="38">
        <f>+P279/O279</f>
        <v>12.133333333333333</v>
      </c>
      <c r="R279" s="14">
        <f>SUM(G278:G279)</f>
        <v>96</v>
      </c>
      <c r="S279" s="38">
        <f>+R279/O279</f>
        <v>3.2</v>
      </c>
      <c r="T279" s="14">
        <f>SUM(I278:I279)</f>
        <v>8</v>
      </c>
      <c r="U279" s="113">
        <f>+T279/O279</f>
        <v>0.26666666666666666</v>
      </c>
      <c r="V279" s="14">
        <f>SUM(K278:K279)</f>
        <v>0</v>
      </c>
      <c r="W279" s="171">
        <f>+V279/O279</f>
        <v>0</v>
      </c>
    </row>
    <row r="280" spans="1:23" x14ac:dyDescent="0.15">
      <c r="A280" s="107" t="s">
        <v>451</v>
      </c>
      <c r="B280" s="237">
        <v>0.47361111111111115</v>
      </c>
      <c r="C280" s="237">
        <v>0.48749999999999999</v>
      </c>
      <c r="D280" s="14">
        <v>20</v>
      </c>
      <c r="E280" s="14">
        <v>101</v>
      </c>
      <c r="F280" s="314">
        <f t="shared" si="33"/>
        <v>5.05</v>
      </c>
      <c r="G280" s="14">
        <v>20</v>
      </c>
      <c r="H280" s="314">
        <f t="shared" si="34"/>
        <v>1</v>
      </c>
      <c r="I280" s="30"/>
      <c r="J280" s="30"/>
      <c r="K280" s="30"/>
      <c r="L280" s="30"/>
      <c r="M280" s="14"/>
      <c r="N280" s="64" t="s">
        <v>18</v>
      </c>
      <c r="O280" s="14"/>
      <c r="P280" s="14"/>
      <c r="Q280" s="14"/>
      <c r="R280" s="14"/>
      <c r="S280" s="14"/>
      <c r="T280" s="14"/>
      <c r="U280" s="14"/>
      <c r="V280" s="14"/>
      <c r="W280" s="136"/>
    </row>
    <row r="281" spans="1:23" x14ac:dyDescent="0.15">
      <c r="A281" s="80"/>
      <c r="B281" s="237">
        <v>0.5083333333333333</v>
      </c>
      <c r="C281" s="237">
        <v>0.52222222222222225</v>
      </c>
      <c r="D281" s="14">
        <v>20</v>
      </c>
      <c r="E281" s="14">
        <v>201</v>
      </c>
      <c r="F281" s="314">
        <f t="shared" si="33"/>
        <v>10.050000000000001</v>
      </c>
      <c r="G281" s="14">
        <v>41</v>
      </c>
      <c r="H281" s="314">
        <f t="shared" si="34"/>
        <v>2.0499999999999998</v>
      </c>
      <c r="I281" s="30"/>
      <c r="J281" s="30"/>
      <c r="K281" s="30"/>
      <c r="L281" s="239" t="s">
        <v>18</v>
      </c>
      <c r="M281" s="64" t="s">
        <v>18</v>
      </c>
      <c r="N281" s="14"/>
      <c r="O281" s="14"/>
      <c r="P281" s="14"/>
      <c r="Q281" s="14"/>
      <c r="R281" s="14"/>
      <c r="S281" s="14"/>
      <c r="T281" s="14"/>
      <c r="U281" s="14"/>
      <c r="V281" s="14"/>
      <c r="W281" s="136"/>
    </row>
    <row r="282" spans="1:23" x14ac:dyDescent="0.15">
      <c r="A282" s="80"/>
      <c r="B282" s="237">
        <v>0.54166666666666663</v>
      </c>
      <c r="C282" s="237">
        <v>0.55555555555555558</v>
      </c>
      <c r="D282" s="14">
        <v>20</v>
      </c>
      <c r="E282" s="14">
        <v>168</v>
      </c>
      <c r="F282" s="314">
        <f t="shared" si="33"/>
        <v>8.4</v>
      </c>
      <c r="G282" s="14">
        <v>21</v>
      </c>
      <c r="H282" s="314">
        <f t="shared" si="34"/>
        <v>1.05</v>
      </c>
      <c r="I282" s="30"/>
      <c r="J282" s="30"/>
      <c r="K282" s="239" t="s">
        <v>18</v>
      </c>
      <c r="L282" s="30"/>
      <c r="M282" s="14"/>
      <c r="N282" s="14"/>
      <c r="O282" s="14">
        <f>SUM(D280:D282)</f>
        <v>60</v>
      </c>
      <c r="P282" s="14">
        <f>SUM(E280:E282)</f>
        <v>470</v>
      </c>
      <c r="Q282" s="38">
        <f>+P282/O282</f>
        <v>7.833333333333333</v>
      </c>
      <c r="R282" s="14">
        <f>SUM(G280:G282)</f>
        <v>82</v>
      </c>
      <c r="S282" s="38">
        <f>+R282/O282</f>
        <v>1.3666666666666667</v>
      </c>
      <c r="T282" s="64" t="s">
        <v>18</v>
      </c>
      <c r="U282" s="113" t="s">
        <v>18</v>
      </c>
      <c r="V282" s="64" t="s">
        <v>18</v>
      </c>
      <c r="W282" s="330" t="s">
        <v>18</v>
      </c>
    </row>
    <row r="283" spans="1:23" x14ac:dyDescent="0.15">
      <c r="A283" s="107" t="s">
        <v>450</v>
      </c>
      <c r="B283" s="237">
        <v>0.4777777777777778</v>
      </c>
      <c r="C283" s="237">
        <v>0.48819444444444443</v>
      </c>
      <c r="D283" s="14">
        <v>15</v>
      </c>
      <c r="E283" s="14">
        <v>82</v>
      </c>
      <c r="F283" s="314">
        <f t="shared" si="33"/>
        <v>5.4666666666666668</v>
      </c>
      <c r="G283" s="14">
        <v>28</v>
      </c>
      <c r="H283" s="314">
        <f t="shared" si="34"/>
        <v>1.8666666666666667</v>
      </c>
      <c r="I283" s="14">
        <v>4</v>
      </c>
      <c r="J283" s="299">
        <f>+I283/D283</f>
        <v>0.26666666666666666</v>
      </c>
      <c r="K283" s="14">
        <v>0</v>
      </c>
      <c r="L283" s="314">
        <f>+K283/D283</f>
        <v>0</v>
      </c>
      <c r="M283" s="64" t="s">
        <v>18</v>
      </c>
      <c r="N283" s="14"/>
      <c r="O283" s="14"/>
      <c r="P283" s="14"/>
      <c r="Q283" s="14"/>
      <c r="R283" s="14"/>
      <c r="S283" s="14"/>
      <c r="T283" s="14"/>
      <c r="U283" s="14"/>
      <c r="V283" s="14"/>
      <c r="W283" s="136"/>
    </row>
    <row r="284" spans="1:23" x14ac:dyDescent="0.15">
      <c r="A284" s="80"/>
      <c r="B284" s="237">
        <v>0.52708333333333335</v>
      </c>
      <c r="C284" s="237">
        <v>0.53749999999999998</v>
      </c>
      <c r="D284" s="14">
        <v>15</v>
      </c>
      <c r="E284" s="14">
        <v>141</v>
      </c>
      <c r="F284" s="314">
        <f t="shared" si="33"/>
        <v>9.4</v>
      </c>
      <c r="G284" s="14">
        <v>47</v>
      </c>
      <c r="H284" s="314">
        <f t="shared" si="34"/>
        <v>3.1333333333333333</v>
      </c>
      <c r="I284" s="14">
        <v>7</v>
      </c>
      <c r="J284" s="299">
        <f>+I284/D284</f>
        <v>0.46666666666666667</v>
      </c>
      <c r="K284" s="14">
        <v>0</v>
      </c>
      <c r="L284" s="314">
        <f>+K284/D284</f>
        <v>0</v>
      </c>
      <c r="M284" s="14"/>
      <c r="N284" s="14"/>
      <c r="O284" s="14">
        <f>SUM(D283:D284)</f>
        <v>30</v>
      </c>
      <c r="P284" s="14">
        <f>SUM(E283:E284)</f>
        <v>223</v>
      </c>
      <c r="Q284" s="38">
        <f>+P284/O284</f>
        <v>7.4333333333333336</v>
      </c>
      <c r="R284" s="14">
        <f>SUM(G283:G284)</f>
        <v>75</v>
      </c>
      <c r="S284" s="38">
        <f>+R284/O284</f>
        <v>2.5</v>
      </c>
      <c r="T284" s="14">
        <f>SUM(I283:I284)</f>
        <v>11</v>
      </c>
      <c r="U284" s="113">
        <f>+T284/O284</f>
        <v>0.36666666666666664</v>
      </c>
      <c r="V284" s="14">
        <f>SUM(K283:K284)</f>
        <v>0</v>
      </c>
      <c r="W284" s="171">
        <f>+V284/O284</f>
        <v>0</v>
      </c>
    </row>
    <row r="285" spans="1:23" x14ac:dyDescent="0.15">
      <c r="A285" s="107" t="s">
        <v>452</v>
      </c>
      <c r="B285" s="237">
        <v>0.48958333333333331</v>
      </c>
      <c r="C285" s="237">
        <v>0.49652777777777773</v>
      </c>
      <c r="D285" s="14">
        <v>10</v>
      </c>
      <c r="E285" s="14">
        <v>52</v>
      </c>
      <c r="F285" s="314">
        <f t="shared" si="33"/>
        <v>5.2</v>
      </c>
      <c r="G285" s="14">
        <v>7</v>
      </c>
      <c r="H285" s="314">
        <f t="shared" si="34"/>
        <v>0.7</v>
      </c>
      <c r="I285" s="30"/>
      <c r="J285" s="30"/>
      <c r="K285" s="30"/>
      <c r="L285" s="239" t="s">
        <v>18</v>
      </c>
      <c r="M285" s="64" t="s">
        <v>18</v>
      </c>
      <c r="N285" s="14"/>
      <c r="O285" s="14"/>
      <c r="P285" s="14"/>
      <c r="Q285" s="14"/>
      <c r="R285" s="14"/>
      <c r="S285" s="14"/>
      <c r="T285" s="14"/>
      <c r="U285" s="14"/>
      <c r="V285" s="14"/>
      <c r="W285" s="136"/>
    </row>
    <row r="286" spans="1:23" x14ac:dyDescent="0.15">
      <c r="A286" s="80"/>
      <c r="B286" s="237">
        <v>0.52430555555555558</v>
      </c>
      <c r="C286" s="237">
        <v>0.53125</v>
      </c>
      <c r="D286" s="14">
        <v>10</v>
      </c>
      <c r="E286" s="14">
        <v>55</v>
      </c>
      <c r="F286" s="314">
        <f t="shared" si="33"/>
        <v>5.5</v>
      </c>
      <c r="G286" s="14">
        <v>12</v>
      </c>
      <c r="H286" s="314">
        <f t="shared" si="34"/>
        <v>1.2</v>
      </c>
      <c r="I286" s="30"/>
      <c r="J286" s="30"/>
      <c r="K286" s="30"/>
      <c r="L286" s="30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36"/>
    </row>
    <row r="287" spans="1:23" x14ac:dyDescent="0.15">
      <c r="A287" s="80"/>
      <c r="B287" s="237">
        <v>0.55694444444444446</v>
      </c>
      <c r="C287" s="237">
        <v>0.56388888888888888</v>
      </c>
      <c r="D287" s="14">
        <v>10</v>
      </c>
      <c r="E287" s="14">
        <v>32</v>
      </c>
      <c r="F287" s="314">
        <f t="shared" si="33"/>
        <v>3.2</v>
      </c>
      <c r="G287" s="14">
        <v>1</v>
      </c>
      <c r="H287" s="314">
        <f t="shared" si="34"/>
        <v>0.1</v>
      </c>
      <c r="I287" s="30"/>
      <c r="J287" s="30"/>
      <c r="K287" s="239" t="s">
        <v>18</v>
      </c>
      <c r="L287" s="30"/>
      <c r="M287" s="14"/>
      <c r="N287" s="64" t="s">
        <v>18</v>
      </c>
      <c r="O287" s="14">
        <f>SUM(D285:D287)</f>
        <v>30</v>
      </c>
      <c r="P287" s="14">
        <f>SUM(E285:E287)</f>
        <v>139</v>
      </c>
      <c r="Q287" s="38">
        <f>+P287/O287</f>
        <v>4.6333333333333337</v>
      </c>
      <c r="R287" s="14">
        <f>SUM(G285:G287)</f>
        <v>20</v>
      </c>
      <c r="S287" s="38">
        <f>+R287/O287</f>
        <v>0.66666666666666663</v>
      </c>
      <c r="T287" s="64" t="s">
        <v>18</v>
      </c>
      <c r="U287" s="113" t="s">
        <v>18</v>
      </c>
      <c r="V287" s="64" t="s">
        <v>18</v>
      </c>
      <c r="W287" s="330" t="s">
        <v>18</v>
      </c>
    </row>
    <row r="288" spans="1:23" x14ac:dyDescent="0.15">
      <c r="A288" s="107" t="s">
        <v>453</v>
      </c>
      <c r="B288" s="237">
        <v>0.48958333333333331</v>
      </c>
      <c r="C288" s="237">
        <v>0.5</v>
      </c>
      <c r="D288" s="14">
        <v>15</v>
      </c>
      <c r="E288" s="14">
        <v>61</v>
      </c>
      <c r="F288" s="314">
        <f t="shared" si="33"/>
        <v>4.0666666666666664</v>
      </c>
      <c r="G288" s="14">
        <v>25</v>
      </c>
      <c r="H288" s="314">
        <f t="shared" si="34"/>
        <v>1.6666666666666667</v>
      </c>
      <c r="I288" s="14">
        <v>22</v>
      </c>
      <c r="J288" s="299">
        <f t="shared" ref="J288:J294" si="35">+I288/D288</f>
        <v>1.4666666666666666</v>
      </c>
      <c r="K288" s="14">
        <v>0</v>
      </c>
      <c r="L288" s="314">
        <f t="shared" ref="L288:L294" si="36">+K288/D288</f>
        <v>0</v>
      </c>
      <c r="M288" s="14"/>
      <c r="N288" s="64" t="s">
        <v>18</v>
      </c>
      <c r="O288" s="14"/>
      <c r="P288" s="14"/>
      <c r="Q288" s="14"/>
      <c r="R288" s="14"/>
      <c r="S288" s="14"/>
      <c r="T288" s="14"/>
      <c r="U288" s="14"/>
      <c r="V288" s="14"/>
      <c r="W288" s="136"/>
    </row>
    <row r="289" spans="1:23" ht="14" thickBot="1" x14ac:dyDescent="0.2">
      <c r="A289" s="80"/>
      <c r="B289" s="237">
        <v>0.53888888888888886</v>
      </c>
      <c r="C289" s="237">
        <v>0.5493055555555556</v>
      </c>
      <c r="D289" s="14">
        <v>15</v>
      </c>
      <c r="E289" s="14">
        <v>86</v>
      </c>
      <c r="F289" s="314">
        <f t="shared" si="33"/>
        <v>5.7333333333333334</v>
      </c>
      <c r="G289" s="14">
        <v>26</v>
      </c>
      <c r="H289" s="314">
        <f t="shared" si="34"/>
        <v>1.7333333333333334</v>
      </c>
      <c r="I289" s="14">
        <v>8</v>
      </c>
      <c r="J289" s="299">
        <f t="shared" si="35"/>
        <v>0.53333333333333333</v>
      </c>
      <c r="K289" s="14">
        <v>0</v>
      </c>
      <c r="L289" s="314">
        <f t="shared" si="36"/>
        <v>0</v>
      </c>
      <c r="M289" s="64" t="s">
        <v>18</v>
      </c>
      <c r="N289" s="64" t="s">
        <v>18</v>
      </c>
      <c r="O289" s="14">
        <f>SUM(D288:D289)</f>
        <v>30</v>
      </c>
      <c r="P289" s="14">
        <f>SUM(E288:E289)</f>
        <v>147</v>
      </c>
      <c r="Q289" s="38">
        <f>+P289/O289</f>
        <v>4.9000000000000004</v>
      </c>
      <c r="R289" s="14">
        <f>SUM(G288:G289)</f>
        <v>51</v>
      </c>
      <c r="S289" s="38">
        <f>+R289/O289</f>
        <v>1.7</v>
      </c>
      <c r="T289" s="14">
        <f>SUM(I288:I289)</f>
        <v>30</v>
      </c>
      <c r="U289" s="113">
        <f>+T289/O289</f>
        <v>1</v>
      </c>
      <c r="V289" s="14">
        <f>SUM(K288:K289)</f>
        <v>0</v>
      </c>
      <c r="W289" s="171">
        <f>+V289/O289</f>
        <v>0</v>
      </c>
    </row>
    <row r="290" spans="1:23" ht="14" thickBot="1" x14ac:dyDescent="0.2">
      <c r="A290" s="503" t="s">
        <v>217</v>
      </c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329" t="s">
        <v>214</v>
      </c>
      <c r="O290" s="333">
        <f>SUM(O289,O287,O284,O282,O279,O277,O274)</f>
        <v>240</v>
      </c>
      <c r="P290" s="333">
        <f>SUM(P289,P287,P284,P282,P279,P277,P274)</f>
        <v>1709</v>
      </c>
      <c r="Q290" s="334">
        <f>+P290/O290</f>
        <v>7.1208333333333336</v>
      </c>
      <c r="R290" s="333">
        <f>SUM(R289,R287,R284,R282,R279,R277,R274)</f>
        <v>422</v>
      </c>
      <c r="S290" s="334">
        <f>+R290/O290</f>
        <v>1.7583333333333333</v>
      </c>
      <c r="T290" s="333">
        <f>SUM(T289,T287,T284,T282,T279,T277,T274)</f>
        <v>57</v>
      </c>
      <c r="U290" s="333">
        <f>+SUM(T290)/(D273+D274+D278+D279+D283+D284+D289+D289)</f>
        <v>0.47499999999999998</v>
      </c>
      <c r="V290" s="333">
        <f>SUM(V289,V287,V284,V282,V279,V277,V274)</f>
        <v>0</v>
      </c>
      <c r="W290" s="337">
        <f>+SUM(V290)/(D273+D274+D278+D279+D283+D284+D289+D289)</f>
        <v>0</v>
      </c>
    </row>
    <row r="291" spans="1:23" x14ac:dyDescent="0.15">
      <c r="A291" s="107" t="s">
        <v>448</v>
      </c>
      <c r="B291" s="237">
        <v>0.67013888888888884</v>
      </c>
      <c r="C291" s="237">
        <v>0.68055555555555547</v>
      </c>
      <c r="D291" s="14">
        <v>15</v>
      </c>
      <c r="E291" s="14">
        <v>33</v>
      </c>
      <c r="F291" s="314">
        <f t="shared" si="33"/>
        <v>2.2000000000000002</v>
      </c>
      <c r="G291" s="14">
        <v>10</v>
      </c>
      <c r="H291" s="314">
        <f t="shared" si="34"/>
        <v>0.66666666666666663</v>
      </c>
      <c r="I291" s="14">
        <v>11</v>
      </c>
      <c r="J291" s="299">
        <f t="shared" si="35"/>
        <v>0.73333333333333328</v>
      </c>
      <c r="K291" s="14">
        <v>0</v>
      </c>
      <c r="L291" s="314">
        <f t="shared" si="36"/>
        <v>0</v>
      </c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36"/>
    </row>
    <row r="292" spans="1:23" x14ac:dyDescent="0.15">
      <c r="A292" s="80"/>
      <c r="B292" s="237">
        <v>0.69097222222222221</v>
      </c>
      <c r="C292" s="237">
        <v>0.70138888888888884</v>
      </c>
      <c r="D292" s="14">
        <v>15</v>
      </c>
      <c r="E292" s="14">
        <v>42</v>
      </c>
      <c r="F292" s="314">
        <f t="shared" si="33"/>
        <v>2.8</v>
      </c>
      <c r="G292" s="14">
        <v>9</v>
      </c>
      <c r="H292" s="314">
        <f t="shared" si="34"/>
        <v>0.6</v>
      </c>
      <c r="I292" s="14">
        <v>9</v>
      </c>
      <c r="J292" s="299">
        <f t="shared" si="35"/>
        <v>0.6</v>
      </c>
      <c r="K292" s="14">
        <v>0</v>
      </c>
      <c r="L292" s="314">
        <f t="shared" si="36"/>
        <v>0</v>
      </c>
      <c r="M292" s="14"/>
      <c r="N292" s="64" t="s">
        <v>18</v>
      </c>
      <c r="O292" s="14"/>
      <c r="P292" s="14"/>
      <c r="Q292" s="14"/>
      <c r="R292" s="14"/>
      <c r="S292" s="14"/>
      <c r="T292" s="14"/>
      <c r="U292" s="14"/>
      <c r="V292" s="14"/>
      <c r="W292" s="136"/>
    </row>
    <row r="293" spans="1:23" x14ac:dyDescent="0.15">
      <c r="A293" s="80"/>
      <c r="B293" s="237">
        <v>0.71319444444444446</v>
      </c>
      <c r="C293" s="237">
        <v>0.72361111111111109</v>
      </c>
      <c r="D293" s="14">
        <v>15</v>
      </c>
      <c r="E293" s="14">
        <v>23</v>
      </c>
      <c r="F293" s="314">
        <f t="shared" si="33"/>
        <v>1.5333333333333334</v>
      </c>
      <c r="G293" s="14">
        <v>14</v>
      </c>
      <c r="H293" s="314">
        <f t="shared" si="34"/>
        <v>0.93333333333333335</v>
      </c>
      <c r="I293" s="14">
        <v>5</v>
      </c>
      <c r="J293" s="299">
        <f t="shared" si="35"/>
        <v>0.33333333333333331</v>
      </c>
      <c r="K293" s="14">
        <v>0</v>
      </c>
      <c r="L293" s="314">
        <f t="shared" si="36"/>
        <v>0</v>
      </c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36"/>
    </row>
    <row r="294" spans="1:23" x14ac:dyDescent="0.15">
      <c r="A294" s="80"/>
      <c r="B294" s="237">
        <v>0.73749999999999993</v>
      </c>
      <c r="C294" s="237">
        <v>0.74791666666666667</v>
      </c>
      <c r="D294" s="14">
        <v>15</v>
      </c>
      <c r="E294" s="14">
        <v>28</v>
      </c>
      <c r="F294" s="314">
        <f t="shared" si="33"/>
        <v>1.8666666666666667</v>
      </c>
      <c r="G294" s="14">
        <v>7</v>
      </c>
      <c r="H294" s="314">
        <f t="shared" si="34"/>
        <v>0.46666666666666667</v>
      </c>
      <c r="I294" s="14">
        <v>16</v>
      </c>
      <c r="J294" s="299">
        <f t="shared" si="35"/>
        <v>1.0666666666666667</v>
      </c>
      <c r="K294" s="14">
        <v>0</v>
      </c>
      <c r="L294" s="314">
        <f t="shared" si="36"/>
        <v>0</v>
      </c>
      <c r="M294" s="64" t="s">
        <v>18</v>
      </c>
      <c r="N294" s="64" t="s">
        <v>18</v>
      </c>
      <c r="O294" s="14">
        <f>+D291+D292+D293+D294</f>
        <v>60</v>
      </c>
      <c r="P294" s="14">
        <f>+E291+E292+E293+E294</f>
        <v>126</v>
      </c>
      <c r="Q294" s="38">
        <f>+P294/O294</f>
        <v>2.1</v>
      </c>
      <c r="R294" s="14">
        <f>+G291+G292+G293+G294</f>
        <v>40</v>
      </c>
      <c r="S294" s="38">
        <f>+R294/O294</f>
        <v>0.66666666666666663</v>
      </c>
      <c r="T294" s="14">
        <f>+I291+I292+I293+I294</f>
        <v>41</v>
      </c>
      <c r="U294" s="113">
        <f>+T294/O294</f>
        <v>0.68333333333333335</v>
      </c>
      <c r="V294" s="14">
        <f>+K291+K292+K293+K294</f>
        <v>0</v>
      </c>
      <c r="W294" s="171">
        <f>+V294/O294</f>
        <v>0</v>
      </c>
    </row>
    <row r="295" spans="1:23" x14ac:dyDescent="0.15">
      <c r="A295" s="107" t="s">
        <v>454</v>
      </c>
      <c r="B295" s="237">
        <v>0.67013888888888884</v>
      </c>
      <c r="C295" s="237">
        <v>0.67708333333333337</v>
      </c>
      <c r="D295" s="14">
        <v>10</v>
      </c>
      <c r="E295" s="14">
        <v>22</v>
      </c>
      <c r="F295" s="314">
        <f t="shared" si="33"/>
        <v>2.2000000000000002</v>
      </c>
      <c r="G295" s="14">
        <v>11</v>
      </c>
      <c r="H295" s="314">
        <f t="shared" si="34"/>
        <v>1.1000000000000001</v>
      </c>
      <c r="I295" s="30"/>
      <c r="J295" s="30"/>
      <c r="K295" s="30"/>
      <c r="L295" s="30"/>
      <c r="M295" s="64" t="s">
        <v>18</v>
      </c>
      <c r="N295" s="64" t="s">
        <v>18</v>
      </c>
      <c r="O295" s="14"/>
      <c r="P295" s="14"/>
      <c r="Q295" s="14"/>
      <c r="R295" s="14"/>
      <c r="S295" s="14"/>
      <c r="T295" s="14"/>
      <c r="U295" s="14"/>
      <c r="V295" s="14"/>
      <c r="W295" s="136"/>
    </row>
    <row r="296" spans="1:23" x14ac:dyDescent="0.15">
      <c r="A296" s="80"/>
      <c r="B296" s="237">
        <v>0.69374999999999998</v>
      </c>
      <c r="C296" s="237">
        <v>0.7006944444444444</v>
      </c>
      <c r="D296" s="14">
        <v>10</v>
      </c>
      <c r="E296" s="14">
        <v>29</v>
      </c>
      <c r="F296" s="314">
        <f t="shared" si="33"/>
        <v>2.9</v>
      </c>
      <c r="G296" s="14">
        <v>15</v>
      </c>
      <c r="H296" s="314">
        <f t="shared" si="34"/>
        <v>1.5</v>
      </c>
      <c r="I296" s="239" t="s">
        <v>18</v>
      </c>
      <c r="J296" s="30"/>
      <c r="K296" s="30"/>
      <c r="L296" s="30"/>
      <c r="M296" s="14"/>
      <c r="N296" s="14"/>
      <c r="O296" s="14"/>
      <c r="P296" s="14"/>
      <c r="Q296" s="14"/>
      <c r="R296" s="14"/>
      <c r="S296" s="64" t="s">
        <v>18</v>
      </c>
      <c r="T296" s="14"/>
      <c r="U296" s="14"/>
      <c r="V296" s="14"/>
      <c r="W296" s="136"/>
    </row>
    <row r="297" spans="1:23" x14ac:dyDescent="0.15">
      <c r="A297" s="80"/>
      <c r="B297" s="237">
        <v>0.71736111111111101</v>
      </c>
      <c r="C297" s="237">
        <v>0.72430555555555554</v>
      </c>
      <c r="D297" s="14">
        <v>10</v>
      </c>
      <c r="E297" s="14">
        <v>28</v>
      </c>
      <c r="F297" s="314">
        <f t="shared" si="33"/>
        <v>2.8</v>
      </c>
      <c r="G297" s="14">
        <v>19</v>
      </c>
      <c r="H297" s="314">
        <f t="shared" si="34"/>
        <v>1.9</v>
      </c>
      <c r="I297" s="239"/>
      <c r="J297" s="30"/>
      <c r="K297" s="30"/>
      <c r="L297" s="30"/>
      <c r="M297" s="14"/>
      <c r="N297" s="64" t="s">
        <v>18</v>
      </c>
      <c r="O297" s="14"/>
      <c r="P297" s="14"/>
      <c r="Q297" s="14"/>
      <c r="R297" s="14"/>
      <c r="S297" s="14"/>
      <c r="T297" s="14"/>
      <c r="U297" s="14"/>
      <c r="V297" s="14"/>
      <c r="W297" s="136"/>
    </row>
    <row r="298" spans="1:23" x14ac:dyDescent="0.15">
      <c r="A298" s="91" t="s">
        <v>18</v>
      </c>
      <c r="B298" s="237">
        <v>0.74097222222222225</v>
      </c>
      <c r="C298" s="237">
        <v>0.74791666666666667</v>
      </c>
      <c r="D298" s="14">
        <v>10</v>
      </c>
      <c r="E298" s="14">
        <v>33</v>
      </c>
      <c r="F298" s="314">
        <f t="shared" si="33"/>
        <v>3.3</v>
      </c>
      <c r="G298" s="14">
        <v>18</v>
      </c>
      <c r="H298" s="314">
        <f t="shared" si="34"/>
        <v>1.8</v>
      </c>
      <c r="I298" s="239"/>
      <c r="J298" s="30"/>
      <c r="K298" s="30"/>
      <c r="L298" s="30"/>
      <c r="M298" s="14"/>
      <c r="N298" s="14"/>
      <c r="O298" s="14">
        <f>+D295+D296+D297+D298</f>
        <v>40</v>
      </c>
      <c r="P298" s="14">
        <f>+E295+E296+E297+E298</f>
        <v>112</v>
      </c>
      <c r="Q298" s="38">
        <f>+P298/O298</f>
        <v>2.8</v>
      </c>
      <c r="R298" s="14">
        <f>+G295+G296+G297+G298</f>
        <v>63</v>
      </c>
      <c r="S298" s="38">
        <f>+R298/O298</f>
        <v>1.575</v>
      </c>
      <c r="T298" s="14"/>
      <c r="U298" s="64" t="s">
        <v>18</v>
      </c>
      <c r="V298" s="14"/>
      <c r="W298" s="136"/>
    </row>
    <row r="299" spans="1:23" x14ac:dyDescent="0.15">
      <c r="A299" s="107" t="s">
        <v>449</v>
      </c>
      <c r="B299" s="237">
        <v>0.67986111111111114</v>
      </c>
      <c r="C299" s="237">
        <v>0.69027777777777777</v>
      </c>
      <c r="D299" s="14">
        <v>15</v>
      </c>
      <c r="E299" s="14">
        <v>61</v>
      </c>
      <c r="F299" s="314">
        <f t="shared" si="33"/>
        <v>4.0666666666666664</v>
      </c>
      <c r="G299" s="14">
        <v>19</v>
      </c>
      <c r="H299" s="314">
        <f t="shared" si="34"/>
        <v>1.2666666666666666</v>
      </c>
      <c r="I299" s="64">
        <v>5</v>
      </c>
      <c r="J299" s="299">
        <f>+I299/D299</f>
        <v>0.33333333333333331</v>
      </c>
      <c r="K299" s="64">
        <v>0</v>
      </c>
      <c r="L299" s="314">
        <f>+K299/D299</f>
        <v>0</v>
      </c>
      <c r="M299" s="14"/>
      <c r="N299" s="14"/>
      <c r="O299" s="14"/>
      <c r="P299" s="14"/>
      <c r="Q299" s="14"/>
      <c r="R299" s="14"/>
      <c r="S299" s="64" t="s">
        <v>18</v>
      </c>
      <c r="T299" s="14"/>
      <c r="U299" s="14"/>
      <c r="V299" s="14"/>
      <c r="W299" s="136"/>
    </row>
    <row r="300" spans="1:23" x14ac:dyDescent="0.15">
      <c r="A300" s="80"/>
      <c r="B300" s="237">
        <v>0.70138888888888884</v>
      </c>
      <c r="C300" s="237">
        <v>0.71180555555555547</v>
      </c>
      <c r="D300" s="14">
        <v>15</v>
      </c>
      <c r="E300" s="14">
        <v>48</v>
      </c>
      <c r="F300" s="314">
        <f t="shared" si="33"/>
        <v>3.2</v>
      </c>
      <c r="G300" s="14">
        <v>8</v>
      </c>
      <c r="H300" s="314">
        <f t="shared" si="34"/>
        <v>0.53333333333333333</v>
      </c>
      <c r="I300" s="64">
        <v>4</v>
      </c>
      <c r="J300" s="299">
        <f>+I300/D300</f>
        <v>0.26666666666666666</v>
      </c>
      <c r="K300" s="64">
        <v>0</v>
      </c>
      <c r="L300" s="314">
        <f>+K300/D300</f>
        <v>0</v>
      </c>
      <c r="M300" s="14"/>
      <c r="N300" s="64" t="s">
        <v>18</v>
      </c>
      <c r="O300" s="14">
        <f>SUM(D299:D300)</f>
        <v>30</v>
      </c>
      <c r="P300" s="14">
        <f>SUM(E299:E300)</f>
        <v>109</v>
      </c>
      <c r="Q300" s="38">
        <f>+P300/O300</f>
        <v>3.6333333333333333</v>
      </c>
      <c r="R300" s="14">
        <f>SUM(G299:G300)</f>
        <v>27</v>
      </c>
      <c r="S300" s="38">
        <f>+R300/O300</f>
        <v>0.9</v>
      </c>
      <c r="T300" s="14">
        <f>SUM(I299:I300)</f>
        <v>9</v>
      </c>
      <c r="U300" s="113">
        <f>+T300/O300</f>
        <v>0.3</v>
      </c>
      <c r="V300" s="14">
        <f>SUM(K299:K300)</f>
        <v>0</v>
      </c>
      <c r="W300" s="171">
        <f>+V300/O300</f>
        <v>0</v>
      </c>
    </row>
    <row r="301" spans="1:23" x14ac:dyDescent="0.15">
      <c r="A301" s="107" t="s">
        <v>451</v>
      </c>
      <c r="B301" s="237">
        <v>0.6777777777777777</v>
      </c>
      <c r="C301" s="237">
        <v>0.68472222222222223</v>
      </c>
      <c r="D301" s="14">
        <v>10</v>
      </c>
      <c r="E301" s="14">
        <v>48</v>
      </c>
      <c r="F301" s="314">
        <f t="shared" si="33"/>
        <v>4.8</v>
      </c>
      <c r="G301" s="14">
        <v>12</v>
      </c>
      <c r="H301" s="314">
        <f t="shared" si="34"/>
        <v>1.2</v>
      </c>
      <c r="I301" s="30"/>
      <c r="J301" s="30"/>
      <c r="K301" s="30"/>
      <c r="L301" s="30"/>
      <c r="M301" s="14"/>
      <c r="N301" s="14"/>
      <c r="O301" s="14"/>
      <c r="P301" s="14"/>
      <c r="Q301" s="14"/>
      <c r="R301" s="14"/>
      <c r="S301" s="14"/>
      <c r="T301" s="64" t="s">
        <v>18</v>
      </c>
      <c r="U301" s="64" t="s">
        <v>18</v>
      </c>
      <c r="V301" s="14"/>
      <c r="W301" s="136"/>
    </row>
    <row r="302" spans="1:23" x14ac:dyDescent="0.15">
      <c r="A302" s="91" t="s">
        <v>18</v>
      </c>
      <c r="B302" s="251">
        <v>0.70138888888888884</v>
      </c>
      <c r="C302" s="237">
        <v>0.70833333333333337</v>
      </c>
      <c r="D302" s="14">
        <v>10</v>
      </c>
      <c r="E302" s="14">
        <v>36</v>
      </c>
      <c r="F302" s="314">
        <f t="shared" si="33"/>
        <v>3.6</v>
      </c>
      <c r="G302" s="14">
        <v>15</v>
      </c>
      <c r="H302" s="314">
        <f t="shared" si="34"/>
        <v>1.5</v>
      </c>
      <c r="I302" s="30"/>
      <c r="J302" s="239" t="s">
        <v>18</v>
      </c>
      <c r="K302" s="30"/>
      <c r="L302" s="30"/>
      <c r="M302" s="14"/>
      <c r="N302" s="64" t="s">
        <v>18</v>
      </c>
      <c r="O302" s="14"/>
      <c r="P302" s="14"/>
      <c r="Q302" s="14"/>
      <c r="R302" s="14"/>
      <c r="S302" s="14"/>
      <c r="T302" s="14"/>
      <c r="U302" s="14"/>
      <c r="V302" s="14"/>
      <c r="W302" s="136"/>
    </row>
    <row r="303" spans="1:23" x14ac:dyDescent="0.15">
      <c r="A303" s="80"/>
      <c r="B303" s="237">
        <v>0.72499999999999998</v>
      </c>
      <c r="C303" s="237">
        <v>0.7319444444444444</v>
      </c>
      <c r="D303" s="14">
        <v>10</v>
      </c>
      <c r="E303" s="14">
        <v>8</v>
      </c>
      <c r="F303" s="314">
        <f t="shared" si="33"/>
        <v>0.8</v>
      </c>
      <c r="G303" s="14">
        <v>51</v>
      </c>
      <c r="H303" s="314">
        <f t="shared" si="34"/>
        <v>5.0999999999999996</v>
      </c>
      <c r="I303" s="30"/>
      <c r="J303" s="239" t="s">
        <v>18</v>
      </c>
      <c r="K303" s="30"/>
      <c r="L303" s="30"/>
      <c r="M303" s="14"/>
      <c r="N303" s="14"/>
      <c r="O303" s="14">
        <f>SUM(D301:D303)</f>
        <v>30</v>
      </c>
      <c r="P303" s="14">
        <f>SUM(E301:E303)</f>
        <v>92</v>
      </c>
      <c r="Q303" s="38">
        <f>+P303/O303</f>
        <v>3.0666666666666669</v>
      </c>
      <c r="R303" s="14">
        <f>SUM(G301:G303)</f>
        <v>78</v>
      </c>
      <c r="S303" s="38">
        <f>+R303/O303</f>
        <v>2.6</v>
      </c>
      <c r="T303" s="14"/>
      <c r="U303" s="14"/>
      <c r="V303" s="14"/>
      <c r="W303" s="136"/>
    </row>
    <row r="304" spans="1:23" x14ac:dyDescent="0.15">
      <c r="A304" s="107" t="s">
        <v>450</v>
      </c>
      <c r="B304" s="237">
        <v>0.68194444444444446</v>
      </c>
      <c r="C304" s="237">
        <v>0.69236111111111109</v>
      </c>
      <c r="D304" s="14">
        <v>15</v>
      </c>
      <c r="E304" s="14">
        <v>46</v>
      </c>
      <c r="F304" s="314">
        <f t="shared" si="33"/>
        <v>3.0666666666666669</v>
      </c>
      <c r="G304" s="14">
        <v>32</v>
      </c>
      <c r="H304" s="314">
        <f t="shared" si="34"/>
        <v>2.1333333333333333</v>
      </c>
      <c r="I304" s="14">
        <v>1</v>
      </c>
      <c r="J304" s="299">
        <f>+I304/D304</f>
        <v>6.6666666666666666E-2</v>
      </c>
      <c r="K304" s="14">
        <v>0</v>
      </c>
      <c r="L304" s="314">
        <f>+K304/D304</f>
        <v>0</v>
      </c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36"/>
    </row>
    <row r="305" spans="1:23" x14ac:dyDescent="0.15">
      <c r="A305" s="80"/>
      <c r="B305" s="251">
        <v>0.70347222222222217</v>
      </c>
      <c r="C305" s="251">
        <v>0.71388888888888891</v>
      </c>
      <c r="D305" s="14">
        <v>15</v>
      </c>
      <c r="E305" s="14">
        <v>51</v>
      </c>
      <c r="F305" s="314">
        <f t="shared" si="33"/>
        <v>3.4</v>
      </c>
      <c r="G305" s="14">
        <v>35</v>
      </c>
      <c r="H305" s="314">
        <f t="shared" si="34"/>
        <v>2.3333333333333335</v>
      </c>
      <c r="I305" s="14">
        <v>7</v>
      </c>
      <c r="J305" s="299">
        <f>+I305/D305</f>
        <v>0.46666666666666667</v>
      </c>
      <c r="K305" s="14">
        <v>0</v>
      </c>
      <c r="L305" s="314">
        <f>+K305/D305</f>
        <v>0</v>
      </c>
      <c r="M305" s="64" t="s">
        <v>18</v>
      </c>
      <c r="N305" s="14"/>
      <c r="O305" s="14"/>
      <c r="P305" s="14"/>
      <c r="Q305" s="14"/>
      <c r="R305" s="14"/>
      <c r="S305" s="14"/>
      <c r="T305" s="14"/>
      <c r="U305" s="14"/>
      <c r="V305" s="14"/>
      <c r="W305" s="136"/>
    </row>
    <row r="306" spans="1:23" x14ac:dyDescent="0.15">
      <c r="A306" s="80"/>
      <c r="B306" s="237">
        <v>0.72777777777777775</v>
      </c>
      <c r="C306" s="237">
        <v>0.73819444444444438</v>
      </c>
      <c r="D306" s="14">
        <v>15</v>
      </c>
      <c r="E306" s="14">
        <v>37</v>
      </c>
      <c r="F306" s="314">
        <f t="shared" si="33"/>
        <v>2.4666666666666668</v>
      </c>
      <c r="G306" s="14">
        <v>25</v>
      </c>
      <c r="H306" s="314">
        <f t="shared" si="34"/>
        <v>1.6666666666666667</v>
      </c>
      <c r="I306" s="14">
        <v>8</v>
      </c>
      <c r="J306" s="299">
        <f>+I306/D306</f>
        <v>0.53333333333333333</v>
      </c>
      <c r="K306" s="14">
        <v>4</v>
      </c>
      <c r="L306" s="314">
        <f>+K306/D306</f>
        <v>0.26666666666666666</v>
      </c>
      <c r="M306" s="14"/>
      <c r="N306" s="64" t="s">
        <v>18</v>
      </c>
      <c r="O306" s="14"/>
      <c r="P306" s="14"/>
      <c r="Q306" s="14"/>
      <c r="R306" s="14"/>
      <c r="S306" s="14"/>
      <c r="T306" s="14"/>
      <c r="U306" s="14"/>
      <c r="V306" s="14"/>
      <c r="W306" s="136"/>
    </row>
    <row r="307" spans="1:23" x14ac:dyDescent="0.15">
      <c r="A307" s="80"/>
      <c r="B307" s="237">
        <v>0.75208333333333333</v>
      </c>
      <c r="C307" s="237">
        <v>0.75555555555555554</v>
      </c>
      <c r="D307" s="14">
        <v>5</v>
      </c>
      <c r="E307" s="14">
        <v>27</v>
      </c>
      <c r="F307" s="314">
        <f t="shared" si="33"/>
        <v>5.4</v>
      </c>
      <c r="G307" s="14">
        <v>7</v>
      </c>
      <c r="H307" s="314">
        <f t="shared" si="34"/>
        <v>1.4</v>
      </c>
      <c r="I307" s="14">
        <v>23</v>
      </c>
      <c r="J307" s="299">
        <f>+I307/D307</f>
        <v>4.5999999999999996</v>
      </c>
      <c r="K307" s="14">
        <v>3</v>
      </c>
      <c r="L307" s="314">
        <f>+K307/D307</f>
        <v>0.6</v>
      </c>
      <c r="M307" s="14"/>
      <c r="N307" s="14"/>
      <c r="O307" s="14">
        <f>+D304+D305+D306+D307</f>
        <v>50</v>
      </c>
      <c r="P307" s="14">
        <f>+E304+E305+E306+E307</f>
        <v>161</v>
      </c>
      <c r="Q307" s="38">
        <f>+P307/O307</f>
        <v>3.22</v>
      </c>
      <c r="R307" s="14">
        <f>+G304+G305+G306+G307</f>
        <v>99</v>
      </c>
      <c r="S307" s="38">
        <f>+R307/O307</f>
        <v>1.98</v>
      </c>
      <c r="T307" s="14">
        <f>+I304+I305+I306+I307</f>
        <v>39</v>
      </c>
      <c r="U307" s="113">
        <f>+T307/O307</f>
        <v>0.78</v>
      </c>
      <c r="V307" s="14">
        <f>+K304+K305+K306+K307</f>
        <v>7</v>
      </c>
      <c r="W307" s="171">
        <f>+V307/O307</f>
        <v>0.14000000000000001</v>
      </c>
    </row>
    <row r="308" spans="1:23" x14ac:dyDescent="0.15">
      <c r="A308" s="107" t="s">
        <v>452</v>
      </c>
      <c r="B308" s="237">
        <v>0.68541666666666667</v>
      </c>
      <c r="C308" s="237">
        <v>0.69236111111111109</v>
      </c>
      <c r="D308" s="14">
        <v>10</v>
      </c>
      <c r="E308" s="14">
        <v>30</v>
      </c>
      <c r="F308" s="314">
        <f t="shared" si="33"/>
        <v>3</v>
      </c>
      <c r="G308" s="14">
        <v>5</v>
      </c>
      <c r="H308" s="314">
        <f t="shared" si="34"/>
        <v>0.5</v>
      </c>
      <c r="I308" s="30"/>
      <c r="J308" s="30"/>
      <c r="K308" s="30"/>
      <c r="L308" s="30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36"/>
    </row>
    <row r="309" spans="1:23" x14ac:dyDescent="0.15">
      <c r="A309" s="80"/>
      <c r="B309" s="237">
        <v>0.7090277777777777</v>
      </c>
      <c r="C309" s="237">
        <v>0.71597222222222223</v>
      </c>
      <c r="D309" s="14">
        <v>10</v>
      </c>
      <c r="E309" s="14">
        <v>45</v>
      </c>
      <c r="F309" s="314">
        <f t="shared" si="33"/>
        <v>4.5</v>
      </c>
      <c r="G309" s="14">
        <v>8</v>
      </c>
      <c r="H309" s="314">
        <f t="shared" si="34"/>
        <v>0.8</v>
      </c>
      <c r="I309" s="30"/>
      <c r="J309" s="30"/>
      <c r="K309" s="239" t="s">
        <v>18</v>
      </c>
      <c r="L309" s="30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36"/>
    </row>
    <row r="310" spans="1:23" x14ac:dyDescent="0.15">
      <c r="A310" s="80"/>
      <c r="B310" s="237">
        <v>0.73263888888888884</v>
      </c>
      <c r="C310" s="237">
        <v>0.73958333333333337</v>
      </c>
      <c r="D310" s="14">
        <v>10</v>
      </c>
      <c r="E310" s="14">
        <v>24</v>
      </c>
      <c r="F310" s="314">
        <f t="shared" si="33"/>
        <v>2.4</v>
      </c>
      <c r="G310" s="14">
        <v>12</v>
      </c>
      <c r="H310" s="314">
        <f t="shared" si="34"/>
        <v>1.2</v>
      </c>
      <c r="I310" s="30"/>
      <c r="J310" s="30"/>
      <c r="K310" s="30"/>
      <c r="L310" s="30"/>
      <c r="M310" s="64" t="s">
        <v>18</v>
      </c>
      <c r="N310" s="14"/>
      <c r="O310" s="14">
        <f>SUM(D308:D310)</f>
        <v>30</v>
      </c>
      <c r="P310" s="14">
        <f>SUM(E308:E310)</f>
        <v>99</v>
      </c>
      <c r="Q310" s="38">
        <f>+P310/O310</f>
        <v>3.3</v>
      </c>
      <c r="R310" s="14">
        <f>SUM(G308:G310)</f>
        <v>25</v>
      </c>
      <c r="S310" s="38">
        <f>+R310/O310</f>
        <v>0.83333333333333337</v>
      </c>
      <c r="T310" s="14"/>
      <c r="U310" s="14"/>
      <c r="V310" s="14"/>
      <c r="W310" s="136"/>
    </row>
    <row r="311" spans="1:23" x14ac:dyDescent="0.15">
      <c r="A311" s="107" t="s">
        <v>453</v>
      </c>
      <c r="B311" s="237">
        <v>0.66805555555555562</v>
      </c>
      <c r="C311" s="237">
        <v>0.67847222222222225</v>
      </c>
      <c r="D311" s="14">
        <v>15</v>
      </c>
      <c r="E311" s="14">
        <v>46</v>
      </c>
      <c r="F311" s="314">
        <f t="shared" si="33"/>
        <v>3.0666666666666669</v>
      </c>
      <c r="G311" s="14">
        <v>16</v>
      </c>
      <c r="H311" s="314">
        <f t="shared" si="34"/>
        <v>1.0666666666666667</v>
      </c>
      <c r="I311" s="14">
        <v>26</v>
      </c>
      <c r="J311" s="299">
        <f>+I311/D311</f>
        <v>1.7333333333333334</v>
      </c>
      <c r="K311" s="14">
        <v>2</v>
      </c>
      <c r="L311" s="314">
        <f>+K311/D311</f>
        <v>0.13333333333333333</v>
      </c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36"/>
    </row>
    <row r="312" spans="1:23" x14ac:dyDescent="0.15">
      <c r="A312" s="91" t="s">
        <v>18</v>
      </c>
      <c r="B312" s="237">
        <v>0.71458333333333324</v>
      </c>
      <c r="C312" s="237">
        <v>0.72499999999999998</v>
      </c>
      <c r="D312" s="14">
        <v>15</v>
      </c>
      <c r="E312" s="14">
        <v>38</v>
      </c>
      <c r="F312" s="314">
        <f>+E312/D312</f>
        <v>2.5333333333333332</v>
      </c>
      <c r="G312" s="14">
        <v>10</v>
      </c>
      <c r="H312" s="314">
        <f>+G312/D312</f>
        <v>0.66666666666666663</v>
      </c>
      <c r="I312" s="14">
        <v>28</v>
      </c>
      <c r="J312" s="299">
        <f>+I312/D312</f>
        <v>1.8666666666666667</v>
      </c>
      <c r="K312" s="64">
        <v>3</v>
      </c>
      <c r="L312" s="314">
        <f>+K312/D312</f>
        <v>0.2</v>
      </c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36"/>
    </row>
    <row r="313" spans="1:23" ht="14" thickBot="1" x14ac:dyDescent="0.2">
      <c r="A313" s="80"/>
      <c r="B313" s="237">
        <v>0.73958333333333337</v>
      </c>
      <c r="C313" s="251">
        <v>0.75</v>
      </c>
      <c r="D313" s="14">
        <v>15</v>
      </c>
      <c r="E313" s="14">
        <v>30</v>
      </c>
      <c r="F313" s="314">
        <f t="shared" si="33"/>
        <v>2</v>
      </c>
      <c r="G313" s="14">
        <v>6</v>
      </c>
      <c r="H313" s="314">
        <f t="shared" si="34"/>
        <v>0.4</v>
      </c>
      <c r="I313" s="14">
        <v>26</v>
      </c>
      <c r="J313" s="299">
        <f>+I313/D313</f>
        <v>1.7333333333333334</v>
      </c>
      <c r="K313" s="64">
        <v>0</v>
      </c>
      <c r="L313" s="314">
        <f>+K313/D313</f>
        <v>0</v>
      </c>
      <c r="M313" s="14"/>
      <c r="N313" s="14"/>
      <c r="O313" s="14">
        <f>SUM(D311:D313)</f>
        <v>45</v>
      </c>
      <c r="P313" s="14">
        <f>SUM(E311:E313)</f>
        <v>114</v>
      </c>
      <c r="Q313" s="38">
        <f>+P313/O313</f>
        <v>2.5333333333333332</v>
      </c>
      <c r="R313" s="14">
        <f>SUM(G311:G313)</f>
        <v>32</v>
      </c>
      <c r="S313" s="38">
        <f>+R313/O313</f>
        <v>0.71111111111111114</v>
      </c>
      <c r="T313" s="14">
        <f>SUM(I311:I313)</f>
        <v>80</v>
      </c>
      <c r="U313" s="113">
        <f>+T313/O313</f>
        <v>1.7777777777777777</v>
      </c>
      <c r="V313" s="14">
        <f>SUM(K311:K313)</f>
        <v>5</v>
      </c>
      <c r="W313" s="171">
        <f>+V313/O313</f>
        <v>0.1111111111111111</v>
      </c>
    </row>
    <row r="314" spans="1:23" ht="14" thickBot="1" x14ac:dyDescent="0.2">
      <c r="A314" s="329" t="s">
        <v>68</v>
      </c>
      <c r="B314" s="333"/>
      <c r="C314" s="333"/>
      <c r="D314" s="333">
        <f>SUM(D273:D313)</f>
        <v>525</v>
      </c>
      <c r="E314" s="333">
        <f>SUM(E273:E313)</f>
        <v>2522</v>
      </c>
      <c r="F314" s="829">
        <f t="shared" si="33"/>
        <v>4.803809523809524</v>
      </c>
      <c r="G314" s="333">
        <f>SUM(G273:G313)</f>
        <v>786</v>
      </c>
      <c r="H314" s="829">
        <f t="shared" si="34"/>
        <v>1.4971428571428571</v>
      </c>
      <c r="I314" s="333">
        <f>SUM(I273:I313)</f>
        <v>226</v>
      </c>
      <c r="J314" s="589">
        <f>+I314/(D273+D274+D278+D279+D283+D284+D288+D289++D291+D292+D293+D294+D299+D300+D304+D305+D306+D307+D311+D312+D313)</f>
        <v>0.74098360655737705</v>
      </c>
      <c r="K314" s="333">
        <f>SUM(K273:K313)</f>
        <v>12</v>
      </c>
      <c r="L314" s="589">
        <f>+SUM(K314)/(D313+D312+D311+D307+D306+D305+D304+D300+D299+D294+D293+D292+D291+D289+D288+D283+D284+D279+D278+D274+D273)</f>
        <v>3.9344262295081971E-2</v>
      </c>
      <c r="M314" s="44"/>
      <c r="N314" s="329" t="s">
        <v>218</v>
      </c>
      <c r="O314" s="333">
        <f>SUM(O313,O310,O307,O303,O300,O298,O294)</f>
        <v>285</v>
      </c>
      <c r="P314" s="333">
        <f>SUM(P313,P310,P307,P303,P300,P298,P294)</f>
        <v>813</v>
      </c>
      <c r="Q314" s="335">
        <f>+P314/O314</f>
        <v>2.8526315789473684</v>
      </c>
      <c r="R314" s="333">
        <f>SUM(R313,R310,R307,R303,R300,R298,R294)</f>
        <v>364</v>
      </c>
      <c r="S314" s="335">
        <f>+R314/O314</f>
        <v>1.2771929824561403</v>
      </c>
      <c r="T314" s="333">
        <f>SUM(T313,T310,T307,T303,T300,T298,T294)</f>
        <v>169</v>
      </c>
      <c r="U314" s="335">
        <f>+T314/O314</f>
        <v>0.59298245614035083</v>
      </c>
      <c r="V314" s="333">
        <f>SUM(V313,V310,V307,V303,V300,V298,V294)</f>
        <v>12</v>
      </c>
      <c r="W314" s="336">
        <f>+V314/O314</f>
        <v>4.2105263157894736E-2</v>
      </c>
    </row>
    <row r="315" spans="1:23" ht="14" thickBot="1" x14ac:dyDescent="0.2">
      <c r="A315" s="332" t="s">
        <v>455</v>
      </c>
      <c r="B315" s="44"/>
      <c r="C315" s="44"/>
      <c r="D315" s="579">
        <f>+D314</f>
        <v>525</v>
      </c>
      <c r="E315" s="331">
        <f>+E314+G314</f>
        <v>3308</v>
      </c>
      <c r="F315" s="328">
        <f t="shared" si="33"/>
        <v>6.3009523809523813</v>
      </c>
      <c r="G315" s="141" t="s">
        <v>18</v>
      </c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5"/>
    </row>
    <row r="316" spans="1:23" ht="14" thickBot="1" x14ac:dyDescent="0.2">
      <c r="A316" s="332" t="s">
        <v>456</v>
      </c>
      <c r="B316" s="44"/>
      <c r="C316" s="44"/>
      <c r="D316" s="579">
        <f>+D273+D274+D278+D279+D283+D284+D288+D289+D291+D292+D293+D294+D299+D300+D304+D305+D306+D307+D311+D312+D313</f>
        <v>305</v>
      </c>
      <c r="E316" s="331">
        <f>+I314+K314</f>
        <v>238</v>
      </c>
      <c r="F316" s="328">
        <f>+E316/D316</f>
        <v>0.78032786885245897</v>
      </c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4"/>
      <c r="S316" s="44"/>
      <c r="T316" s="44"/>
      <c r="U316" s="44"/>
      <c r="V316" s="44"/>
      <c r="W316" s="45"/>
    </row>
    <row r="317" spans="1:23" ht="14" thickBot="1" x14ac:dyDescent="0.2">
      <c r="A317" s="844" t="s">
        <v>802</v>
      </c>
      <c r="B317" s="44"/>
      <c r="C317" s="44"/>
      <c r="D317" s="579" t="s">
        <v>18</v>
      </c>
      <c r="E317" s="579">
        <f>+E315+E316</f>
        <v>3546</v>
      </c>
      <c r="F317" s="328">
        <f>+F315+F316</f>
        <v>7.0812802498048404</v>
      </c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4"/>
      <c r="S317" s="44"/>
      <c r="T317" s="44"/>
      <c r="U317" s="44"/>
      <c r="V317" s="44"/>
      <c r="W317" s="45"/>
    </row>
    <row r="318" spans="1:23" ht="14" thickBot="1" x14ac:dyDescent="0.2">
      <c r="A318" s="339"/>
      <c r="B318" s="340"/>
      <c r="C318" s="340"/>
      <c r="D318" s="340"/>
      <c r="E318" s="340"/>
      <c r="F318" s="340"/>
      <c r="G318" s="340"/>
      <c r="H318" s="340"/>
      <c r="I318" s="340"/>
      <c r="J318" s="340"/>
      <c r="K318" s="340"/>
      <c r="L318" s="340"/>
      <c r="M318" s="341" t="s">
        <v>18</v>
      </c>
      <c r="N318" s="340"/>
      <c r="O318" s="340"/>
      <c r="P318" s="340"/>
      <c r="Q318" s="340"/>
      <c r="R318" s="340"/>
      <c r="S318" s="340"/>
      <c r="T318" s="340"/>
      <c r="U318" s="340"/>
      <c r="V318" s="340"/>
      <c r="W318" s="342"/>
    </row>
    <row r="319" spans="1:23" x14ac:dyDescent="0.15">
      <c r="H319" s="2" t="s">
        <v>18</v>
      </c>
      <c r="Q319" s="2" t="s">
        <v>18</v>
      </c>
    </row>
    <row r="320" spans="1:23" x14ac:dyDescent="0.15">
      <c r="L320" s="2" t="s">
        <v>18</v>
      </c>
      <c r="Q320" s="2" t="s">
        <v>18</v>
      </c>
      <c r="S320" s="2" t="s">
        <v>18</v>
      </c>
    </row>
    <row r="321" spans="4:21" x14ac:dyDescent="0.15">
      <c r="D321" s="2" t="s">
        <v>18</v>
      </c>
      <c r="F321" s="2"/>
      <c r="R321" s="2" t="s">
        <v>18</v>
      </c>
      <c r="U321" s="2" t="s">
        <v>18</v>
      </c>
    </row>
    <row r="322" spans="4:21" x14ac:dyDescent="0.15">
      <c r="D322" s="2" t="s">
        <v>18</v>
      </c>
      <c r="G322" s="2" t="s">
        <v>18</v>
      </c>
      <c r="N322" s="2" t="s">
        <v>18</v>
      </c>
      <c r="R322" s="2" t="s">
        <v>18</v>
      </c>
    </row>
    <row r="323" spans="4:21" x14ac:dyDescent="0.15">
      <c r="H323" s="2" t="s">
        <v>18</v>
      </c>
      <c r="T323" s="2" t="s">
        <v>18</v>
      </c>
    </row>
    <row r="325" spans="4:21" x14ac:dyDescent="0.15">
      <c r="F325" s="2" t="s">
        <v>18</v>
      </c>
      <c r="R325" s="2" t="s">
        <v>18</v>
      </c>
    </row>
    <row r="327" spans="4:21" x14ac:dyDescent="0.15">
      <c r="J327" s="2"/>
    </row>
    <row r="328" spans="4:21" x14ac:dyDescent="0.15">
      <c r="J328" s="2"/>
    </row>
    <row r="329" spans="4:21" x14ac:dyDescent="0.15">
      <c r="J329" s="2"/>
    </row>
    <row r="330" spans="4:21" x14ac:dyDescent="0.15">
      <c r="J330" s="2"/>
    </row>
    <row r="331" spans="4:21" x14ac:dyDescent="0.15">
      <c r="J331" s="2"/>
    </row>
    <row r="332" spans="4:21" x14ac:dyDescent="0.15">
      <c r="J332" s="2"/>
    </row>
    <row r="333" spans="4:21" x14ac:dyDescent="0.15">
      <c r="J333" s="2"/>
    </row>
    <row r="334" spans="4:21" x14ac:dyDescent="0.15">
      <c r="J334" s="2"/>
    </row>
    <row r="335" spans="4:21" x14ac:dyDescent="0.15">
      <c r="J335" s="2"/>
    </row>
    <row r="336" spans="4:21" x14ac:dyDescent="0.15">
      <c r="J336" s="2"/>
    </row>
    <row r="337" spans="10:10" x14ac:dyDescent="0.15">
      <c r="J337" s="2"/>
    </row>
    <row r="338" spans="10:10" x14ac:dyDescent="0.15">
      <c r="J338" s="2"/>
    </row>
    <row r="339" spans="10:10" x14ac:dyDescent="0.15">
      <c r="J339" s="2"/>
    </row>
    <row r="340" spans="10:10" x14ac:dyDescent="0.15">
      <c r="J340" s="2"/>
    </row>
    <row r="341" spans="10:10" x14ac:dyDescent="0.15">
      <c r="J341" s="2"/>
    </row>
  </sheetData>
  <phoneticPr fontId="5" type="noConversion"/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W199"/>
  <sheetViews>
    <sheetView topLeftCell="A167" workbookViewId="0">
      <selection activeCell="L197" sqref="L197"/>
    </sheetView>
  </sheetViews>
  <sheetFormatPr baseColWidth="10" defaultColWidth="8.83203125" defaultRowHeight="13" x14ac:dyDescent="0.15"/>
  <cols>
    <col min="1" max="1" width="25.1640625" customWidth="1"/>
    <col min="3" max="3" width="11" bestFit="1" customWidth="1"/>
    <col min="5" max="5" width="11" bestFit="1" customWidth="1"/>
    <col min="7" max="7" width="11" bestFit="1" customWidth="1"/>
    <col min="8" max="8" width="11.6640625" bestFit="1" customWidth="1"/>
    <col min="10" max="10" width="10.1640625" bestFit="1" customWidth="1"/>
    <col min="14" max="14" width="12.1640625" customWidth="1"/>
    <col min="15" max="15" width="13.5" customWidth="1"/>
    <col min="16" max="16" width="11.6640625" bestFit="1" customWidth="1"/>
    <col min="17" max="17" width="13.33203125" bestFit="1" customWidth="1"/>
    <col min="20" max="20" width="11" bestFit="1" customWidth="1"/>
    <col min="21" max="21" width="12.6640625" bestFit="1" customWidth="1"/>
    <col min="22" max="22" width="13.33203125" bestFit="1" customWidth="1"/>
    <col min="23" max="23" width="20.33203125" bestFit="1" customWidth="1"/>
    <col min="24" max="24" width="14.5" bestFit="1" customWidth="1"/>
    <col min="25" max="25" width="11" bestFit="1" customWidth="1"/>
    <col min="26" max="26" width="15.5" bestFit="1" customWidth="1"/>
  </cols>
  <sheetData>
    <row r="1" spans="1:49" ht="16" x14ac:dyDescent="0.2">
      <c r="A1" s="528" t="s">
        <v>655</v>
      </c>
      <c r="B1" s="529"/>
      <c r="C1" s="529"/>
    </row>
    <row r="2" spans="1:49" ht="16" x14ac:dyDescent="0.2">
      <c r="A2" s="528"/>
      <c r="B2" s="529"/>
      <c r="C2" s="529"/>
      <c r="E2" s="305" t="s">
        <v>656</v>
      </c>
      <c r="F2" s="530" t="s">
        <v>657</v>
      </c>
      <c r="G2" s="530"/>
      <c r="H2" s="530" t="s">
        <v>658</v>
      </c>
      <c r="I2" s="530"/>
      <c r="J2" s="530" t="s">
        <v>662</v>
      </c>
      <c r="K2" s="530"/>
      <c r="L2" s="530"/>
      <c r="M2" s="530" t="s">
        <v>663</v>
      </c>
      <c r="N2" s="530"/>
      <c r="O2" s="530" t="s">
        <v>671</v>
      </c>
    </row>
    <row r="3" spans="1:49" ht="17" thickBot="1" x14ac:dyDescent="0.25">
      <c r="A3" s="528"/>
      <c r="B3" s="529"/>
      <c r="C3" s="529"/>
      <c r="F3" s="530" t="s">
        <v>659</v>
      </c>
      <c r="G3" s="530"/>
      <c r="H3" s="530" t="s">
        <v>660</v>
      </c>
      <c r="I3" s="530"/>
      <c r="J3" s="530" t="s">
        <v>661</v>
      </c>
      <c r="K3" s="530"/>
      <c r="L3" s="530"/>
      <c r="M3" s="530" t="s">
        <v>664</v>
      </c>
      <c r="N3" s="530"/>
      <c r="O3" s="530" t="s">
        <v>786</v>
      </c>
    </row>
    <row r="4" spans="1:49" ht="14" thickBot="1" x14ac:dyDescent="0.2">
      <c r="A4" s="429" t="s">
        <v>18</v>
      </c>
      <c r="B4" s="430" t="s">
        <v>18</v>
      </c>
      <c r="C4" s="430"/>
      <c r="D4" s="430"/>
      <c r="E4" s="430" t="s">
        <v>18</v>
      </c>
      <c r="F4" s="430"/>
      <c r="G4" s="430" t="s">
        <v>18</v>
      </c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945"/>
    </row>
    <row r="5" spans="1:49" x14ac:dyDescent="0.15">
      <c r="A5" s="53" t="s">
        <v>12</v>
      </c>
      <c r="B5" s="50"/>
      <c r="C5" s="50"/>
      <c r="D5" s="50"/>
      <c r="E5" s="155" t="s">
        <v>188</v>
      </c>
      <c r="F5" s="50"/>
      <c r="G5" s="50"/>
      <c r="H5" s="50"/>
      <c r="I5" s="50" t="s">
        <v>18</v>
      </c>
      <c r="J5" s="50"/>
      <c r="K5" s="50"/>
      <c r="L5" s="50"/>
      <c r="M5" s="50"/>
      <c r="N5" s="83"/>
    </row>
    <row r="6" spans="1:49" x14ac:dyDescent="0.15">
      <c r="A6" s="74" t="s">
        <v>638</v>
      </c>
      <c r="B6" s="70" t="s">
        <v>100</v>
      </c>
      <c r="C6" s="19"/>
      <c r="D6" s="18" t="s">
        <v>169</v>
      </c>
      <c r="E6" s="18" t="s">
        <v>189</v>
      </c>
      <c r="F6" s="18" t="s">
        <v>170</v>
      </c>
      <c r="G6" s="18" t="s">
        <v>184</v>
      </c>
      <c r="H6" s="18" t="s">
        <v>194</v>
      </c>
      <c r="I6" s="19" t="s">
        <v>18</v>
      </c>
      <c r="J6" s="19"/>
      <c r="K6" s="19"/>
      <c r="L6" s="19"/>
      <c r="M6" s="19"/>
      <c r="N6" s="15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</row>
    <row r="7" spans="1:49" ht="14" thickBot="1" x14ac:dyDescent="0.2">
      <c r="A7" s="216" t="s">
        <v>18</v>
      </c>
      <c r="D7" s="14" t="s">
        <v>192</v>
      </c>
      <c r="E7" s="23">
        <v>0.34513888888888888</v>
      </c>
      <c r="F7" s="19" t="s">
        <v>190</v>
      </c>
      <c r="G7" s="19" t="s">
        <v>185</v>
      </c>
      <c r="H7" s="19" t="s">
        <v>196</v>
      </c>
      <c r="I7" s="19" t="s">
        <v>18</v>
      </c>
      <c r="J7" s="19" t="s">
        <v>18</v>
      </c>
      <c r="K7" s="19"/>
      <c r="L7" s="19"/>
      <c r="M7" s="19"/>
      <c r="N7" s="15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</row>
    <row r="8" spans="1:49" ht="14" thickBot="1" x14ac:dyDescent="0.2">
      <c r="A8" s="54"/>
      <c r="B8" s="160"/>
      <c r="C8" s="160"/>
      <c r="D8" s="160"/>
      <c r="E8" s="161">
        <v>0.61944444444444446</v>
      </c>
      <c r="F8" s="160" t="s">
        <v>191</v>
      </c>
      <c r="G8" s="160" t="s">
        <v>185</v>
      </c>
      <c r="H8" s="160"/>
      <c r="I8" s="160"/>
      <c r="J8" s="160"/>
      <c r="K8" s="160"/>
      <c r="L8" s="160"/>
      <c r="M8" s="160"/>
      <c r="N8" s="162"/>
      <c r="O8" s="17"/>
      <c r="P8" s="153"/>
      <c r="Q8" s="155" t="s">
        <v>12</v>
      </c>
      <c r="R8" s="154"/>
      <c r="S8" s="154"/>
      <c r="T8" s="155" t="s">
        <v>383</v>
      </c>
      <c r="U8" s="154"/>
      <c r="V8" s="154"/>
      <c r="W8" s="154"/>
      <c r="X8" s="154"/>
      <c r="Y8" s="154"/>
      <c r="Z8" s="154"/>
      <c r="AA8" s="154"/>
      <c r="AB8" s="203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</row>
    <row r="9" spans="1:49" ht="14" thickBot="1" x14ac:dyDescent="0.2">
      <c r="A9" s="53" t="s">
        <v>101</v>
      </c>
      <c r="B9" s="168" t="s">
        <v>103</v>
      </c>
      <c r="C9" s="155" t="s">
        <v>112</v>
      </c>
      <c r="D9" s="155" t="s">
        <v>105</v>
      </c>
      <c r="E9" s="155" t="s">
        <v>112</v>
      </c>
      <c r="F9" s="155" t="s">
        <v>105</v>
      </c>
      <c r="G9" s="155" t="s">
        <v>112</v>
      </c>
      <c r="H9" s="155" t="s">
        <v>108</v>
      </c>
      <c r="I9" s="155" t="s">
        <v>36</v>
      </c>
      <c r="J9" s="155" t="s">
        <v>109</v>
      </c>
      <c r="K9" s="155" t="s">
        <v>84</v>
      </c>
      <c r="L9" s="155" t="s">
        <v>110</v>
      </c>
      <c r="M9" s="155" t="s">
        <v>111</v>
      </c>
      <c r="N9" s="205" t="s">
        <v>167</v>
      </c>
      <c r="O9" s="16"/>
      <c r="P9" s="206"/>
      <c r="Q9" s="221" t="s">
        <v>11</v>
      </c>
      <c r="R9" s="222" t="s">
        <v>171</v>
      </c>
      <c r="S9" s="160"/>
      <c r="T9" s="160"/>
      <c r="U9" s="160"/>
      <c r="V9" s="160"/>
      <c r="W9" s="160"/>
      <c r="X9" s="160"/>
      <c r="Y9" s="160"/>
      <c r="Z9" s="160"/>
      <c r="AA9" s="160"/>
      <c r="AB9" s="162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</row>
    <row r="10" spans="1:49" ht="14" thickBot="1" x14ac:dyDescent="0.2">
      <c r="A10" s="55" t="s">
        <v>102</v>
      </c>
      <c r="B10" s="220" t="s">
        <v>104</v>
      </c>
      <c r="C10" s="18"/>
      <c r="D10" s="18" t="s">
        <v>106</v>
      </c>
      <c r="E10" s="18"/>
      <c r="F10" s="18" t="s">
        <v>107</v>
      </c>
      <c r="G10" s="18"/>
      <c r="H10" s="18"/>
      <c r="I10" s="18"/>
      <c r="J10" s="18"/>
      <c r="K10" s="18" t="s">
        <v>113</v>
      </c>
      <c r="L10" s="18"/>
      <c r="M10" s="18"/>
      <c r="N10" s="199" t="s">
        <v>168</v>
      </c>
      <c r="O10" s="16"/>
      <c r="P10" s="168" t="s">
        <v>175</v>
      </c>
      <c r="Q10" s="443">
        <v>0.85</v>
      </c>
      <c r="R10" s="443">
        <v>0.5</v>
      </c>
      <c r="S10" s="443">
        <v>0.15</v>
      </c>
      <c r="T10" s="443">
        <v>0.95</v>
      </c>
      <c r="U10" s="155" t="s">
        <v>172</v>
      </c>
      <c r="V10" s="155" t="s">
        <v>154</v>
      </c>
      <c r="W10" s="155" t="s">
        <v>178</v>
      </c>
      <c r="X10" s="155" t="s">
        <v>183</v>
      </c>
      <c r="Y10" s="155" t="s">
        <v>169</v>
      </c>
      <c r="Z10" s="155" t="s">
        <v>170</v>
      </c>
      <c r="AA10" s="155" t="s">
        <v>184</v>
      </c>
      <c r="AB10" s="205" t="s">
        <v>384</v>
      </c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</row>
    <row r="11" spans="1:49" x14ac:dyDescent="0.15">
      <c r="A11" s="201" t="s">
        <v>487</v>
      </c>
      <c r="B11" s="168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205"/>
      <c r="O11" s="16"/>
      <c r="P11" s="220" t="s">
        <v>176</v>
      </c>
      <c r="Q11" s="276">
        <v>33</v>
      </c>
      <c r="R11" s="276">
        <v>29</v>
      </c>
      <c r="S11" s="276">
        <v>25</v>
      </c>
      <c r="T11" s="276">
        <v>36</v>
      </c>
      <c r="U11" s="276" t="s">
        <v>680</v>
      </c>
      <c r="V11" s="276">
        <v>30</v>
      </c>
      <c r="W11" s="19" t="s">
        <v>186</v>
      </c>
      <c r="X11" s="23">
        <v>0.46736111111111112</v>
      </c>
      <c r="Y11" s="19" t="s">
        <v>174</v>
      </c>
      <c r="Z11" s="230" t="s">
        <v>219</v>
      </c>
      <c r="AA11" s="19" t="s">
        <v>185</v>
      </c>
      <c r="AB11" s="157">
        <v>103</v>
      </c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</row>
    <row r="12" spans="1:49" x14ac:dyDescent="0.15">
      <c r="A12" s="156" t="s">
        <v>117</v>
      </c>
      <c r="B12" s="182">
        <v>420</v>
      </c>
      <c r="C12" s="19">
        <v>505</v>
      </c>
      <c r="D12" s="19">
        <v>38</v>
      </c>
      <c r="E12" s="19">
        <v>52</v>
      </c>
      <c r="F12" s="19">
        <v>3</v>
      </c>
      <c r="G12" s="19">
        <v>3</v>
      </c>
      <c r="H12" s="19">
        <v>9</v>
      </c>
      <c r="I12" s="19">
        <v>9</v>
      </c>
      <c r="J12" s="19">
        <v>3</v>
      </c>
      <c r="K12" s="19">
        <f t="shared" ref="K12:K22" si="0">+B12+D12+F12+H12+I12+J12</f>
        <v>482</v>
      </c>
      <c r="L12" s="19">
        <v>0</v>
      </c>
      <c r="M12" s="19">
        <v>0</v>
      </c>
      <c r="N12" s="157">
        <f>+K12+L12+M12</f>
        <v>482</v>
      </c>
      <c r="O12" s="17"/>
      <c r="P12" s="220" t="s">
        <v>177</v>
      </c>
      <c r="Q12" s="276">
        <v>36</v>
      </c>
      <c r="R12" s="276">
        <v>31</v>
      </c>
      <c r="S12" s="276">
        <v>27</v>
      </c>
      <c r="T12" s="276">
        <v>39</v>
      </c>
      <c r="U12" s="276" t="s">
        <v>681</v>
      </c>
      <c r="V12" s="276">
        <v>30</v>
      </c>
      <c r="W12" s="19" t="s">
        <v>187</v>
      </c>
      <c r="X12" s="23">
        <v>0.45277777777777778</v>
      </c>
      <c r="Y12" s="19" t="s">
        <v>174</v>
      </c>
      <c r="Z12" s="230" t="s">
        <v>219</v>
      </c>
      <c r="AA12" s="19" t="s">
        <v>185</v>
      </c>
      <c r="AB12" s="157">
        <v>110</v>
      </c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</row>
    <row r="13" spans="1:49" x14ac:dyDescent="0.15">
      <c r="A13" s="156" t="s">
        <v>116</v>
      </c>
      <c r="B13" s="182">
        <v>223</v>
      </c>
      <c r="C13" s="19">
        <v>267</v>
      </c>
      <c r="D13" s="19">
        <v>20</v>
      </c>
      <c r="E13" s="19">
        <v>28</v>
      </c>
      <c r="F13" s="19">
        <v>3</v>
      </c>
      <c r="G13" s="19">
        <v>3</v>
      </c>
      <c r="H13" s="19">
        <v>4</v>
      </c>
      <c r="I13" s="19">
        <v>8</v>
      </c>
      <c r="J13" s="19">
        <v>1</v>
      </c>
      <c r="K13" s="19">
        <f t="shared" si="0"/>
        <v>259</v>
      </c>
      <c r="L13" s="19">
        <v>0</v>
      </c>
      <c r="M13" s="19">
        <v>0</v>
      </c>
      <c r="N13" s="157">
        <f t="shared" ref="N13:N23" si="1">+K13+L13+M13</f>
        <v>259</v>
      </c>
      <c r="O13" s="17"/>
      <c r="P13" s="80"/>
      <c r="Q13" s="14"/>
      <c r="R13" s="14"/>
      <c r="S13" s="14"/>
      <c r="T13" s="14"/>
      <c r="U13" s="14"/>
      <c r="V13" s="14"/>
      <c r="W13" s="14"/>
      <c r="X13" s="14"/>
      <c r="Y13" s="19" t="s">
        <v>181</v>
      </c>
      <c r="Z13" s="14"/>
      <c r="AA13" s="14"/>
      <c r="AB13" s="136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</row>
    <row r="14" spans="1:49" ht="14" thickBot="1" x14ac:dyDescent="0.2">
      <c r="A14" s="156" t="s">
        <v>118</v>
      </c>
      <c r="B14" s="182">
        <v>410</v>
      </c>
      <c r="C14" s="19">
        <v>484</v>
      </c>
      <c r="D14" s="19">
        <v>28</v>
      </c>
      <c r="E14" s="19">
        <v>40</v>
      </c>
      <c r="F14" s="19">
        <v>4</v>
      </c>
      <c r="G14" s="19">
        <v>4</v>
      </c>
      <c r="H14" s="19">
        <v>9</v>
      </c>
      <c r="I14" s="19">
        <v>7</v>
      </c>
      <c r="J14" s="19">
        <v>9</v>
      </c>
      <c r="K14" s="19">
        <f t="shared" si="0"/>
        <v>467</v>
      </c>
      <c r="L14" s="19">
        <v>0</v>
      </c>
      <c r="M14" s="19">
        <v>0</v>
      </c>
      <c r="N14" s="157">
        <f t="shared" si="1"/>
        <v>467</v>
      </c>
      <c r="O14" s="17"/>
      <c r="P14" s="219" t="s">
        <v>784</v>
      </c>
      <c r="Q14" s="857">
        <v>41000</v>
      </c>
      <c r="R14" s="160"/>
      <c r="S14" s="160"/>
      <c r="T14" s="160"/>
      <c r="U14" s="160"/>
      <c r="V14" s="160"/>
      <c r="W14" s="160"/>
      <c r="X14" s="160"/>
      <c r="Y14" s="160" t="s">
        <v>180</v>
      </c>
      <c r="Z14" s="160"/>
      <c r="AA14" s="160"/>
      <c r="AB14" s="162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</row>
    <row r="15" spans="1:49" x14ac:dyDescent="0.15">
      <c r="A15" s="156" t="s">
        <v>119</v>
      </c>
      <c r="B15" s="182">
        <v>163</v>
      </c>
      <c r="C15" s="19">
        <v>186</v>
      </c>
      <c r="D15" s="19">
        <v>26</v>
      </c>
      <c r="E15" s="19">
        <v>31</v>
      </c>
      <c r="F15" s="19">
        <v>5</v>
      </c>
      <c r="G15" s="19">
        <v>6</v>
      </c>
      <c r="H15" s="19">
        <v>2</v>
      </c>
      <c r="I15" s="19">
        <v>9</v>
      </c>
      <c r="J15" s="19">
        <v>6</v>
      </c>
      <c r="K15" s="19">
        <f t="shared" si="0"/>
        <v>211</v>
      </c>
      <c r="L15" s="19">
        <v>0</v>
      </c>
      <c r="M15" s="19">
        <v>0</v>
      </c>
      <c r="N15" s="157">
        <f t="shared" si="1"/>
        <v>211</v>
      </c>
      <c r="O15" s="17"/>
      <c r="P15" s="17"/>
      <c r="Q15" s="17"/>
      <c r="R15" s="17"/>
      <c r="S15" s="17"/>
      <c r="T15" s="17"/>
      <c r="U15" s="17" t="s">
        <v>18</v>
      </c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</row>
    <row r="16" spans="1:49" x14ac:dyDescent="0.15">
      <c r="A16" s="156" t="s">
        <v>120</v>
      </c>
      <c r="B16" s="182">
        <v>351</v>
      </c>
      <c r="C16" s="19">
        <v>406</v>
      </c>
      <c r="D16" s="19">
        <v>30</v>
      </c>
      <c r="E16" s="19">
        <v>35</v>
      </c>
      <c r="F16" s="19">
        <v>4</v>
      </c>
      <c r="G16" s="19">
        <v>5</v>
      </c>
      <c r="H16" s="19">
        <v>1</v>
      </c>
      <c r="I16" s="19">
        <v>12</v>
      </c>
      <c r="J16" s="19">
        <v>1</v>
      </c>
      <c r="K16" s="19">
        <f t="shared" si="0"/>
        <v>399</v>
      </c>
      <c r="L16" s="19">
        <v>0</v>
      </c>
      <c r="M16" s="19">
        <v>0</v>
      </c>
      <c r="N16" s="157">
        <f t="shared" si="1"/>
        <v>399</v>
      </c>
      <c r="O16" s="17"/>
      <c r="P16" s="17"/>
      <c r="Q16" s="17" t="s">
        <v>18</v>
      </c>
      <c r="R16" s="261"/>
      <c r="S16" s="17"/>
      <c r="T16" s="17"/>
      <c r="U16" s="17"/>
      <c r="V16" s="17"/>
      <c r="W16" s="17" t="s">
        <v>18</v>
      </c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</row>
    <row r="17" spans="1:49" x14ac:dyDescent="0.15">
      <c r="A17" s="156" t="s">
        <v>121</v>
      </c>
      <c r="B17" s="182">
        <v>202</v>
      </c>
      <c r="C17" s="19">
        <v>264</v>
      </c>
      <c r="D17" s="19">
        <v>29</v>
      </c>
      <c r="E17" s="19">
        <v>33</v>
      </c>
      <c r="F17" s="19">
        <v>3</v>
      </c>
      <c r="G17" s="19">
        <v>4</v>
      </c>
      <c r="H17" s="19">
        <v>3</v>
      </c>
      <c r="I17" s="19">
        <v>4</v>
      </c>
      <c r="J17" s="19">
        <v>6</v>
      </c>
      <c r="K17" s="19">
        <f t="shared" si="0"/>
        <v>247</v>
      </c>
      <c r="L17" s="19">
        <v>0</v>
      </c>
      <c r="M17" s="19">
        <v>0</v>
      </c>
      <c r="N17" s="157">
        <f t="shared" si="1"/>
        <v>247</v>
      </c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</row>
    <row r="18" spans="1:49" x14ac:dyDescent="0.15">
      <c r="A18" s="156" t="s">
        <v>122</v>
      </c>
      <c r="B18" s="182">
        <v>380</v>
      </c>
      <c r="C18" s="19">
        <v>430</v>
      </c>
      <c r="D18" s="19">
        <v>28</v>
      </c>
      <c r="E18" s="19">
        <v>32</v>
      </c>
      <c r="F18" s="19">
        <v>4</v>
      </c>
      <c r="G18" s="19">
        <v>4</v>
      </c>
      <c r="H18" s="19">
        <v>4</v>
      </c>
      <c r="I18" s="19">
        <v>7</v>
      </c>
      <c r="J18" s="19">
        <v>7</v>
      </c>
      <c r="K18" s="19">
        <f t="shared" si="0"/>
        <v>430</v>
      </c>
      <c r="L18" s="19">
        <v>0</v>
      </c>
      <c r="M18" s="19">
        <v>0</v>
      </c>
      <c r="N18" s="157">
        <f t="shared" si="1"/>
        <v>430</v>
      </c>
      <c r="O18" s="17"/>
      <c r="P18" s="17"/>
      <c r="Q18" s="17"/>
      <c r="R18" s="17"/>
      <c r="S18" s="17" t="s">
        <v>18</v>
      </c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</row>
    <row r="19" spans="1:49" x14ac:dyDescent="0.15">
      <c r="A19" s="156" t="s">
        <v>121</v>
      </c>
      <c r="B19" s="182">
        <v>180</v>
      </c>
      <c r="C19" s="19">
        <v>230</v>
      </c>
      <c r="D19" s="19">
        <v>30</v>
      </c>
      <c r="E19" s="19">
        <v>36</v>
      </c>
      <c r="F19" s="19">
        <v>2</v>
      </c>
      <c r="G19" s="19">
        <v>2</v>
      </c>
      <c r="H19" s="19">
        <v>4</v>
      </c>
      <c r="I19" s="19">
        <v>4</v>
      </c>
      <c r="J19" s="19">
        <v>7</v>
      </c>
      <c r="K19" s="19">
        <f t="shared" si="0"/>
        <v>227</v>
      </c>
      <c r="L19" s="19">
        <v>0</v>
      </c>
      <c r="M19" s="19">
        <v>0</v>
      </c>
      <c r="N19" s="157">
        <f t="shared" si="1"/>
        <v>227</v>
      </c>
      <c r="O19" s="258" t="s">
        <v>18</v>
      </c>
      <c r="P19" s="17"/>
      <c r="Q19" s="17"/>
      <c r="R19" s="17"/>
      <c r="S19" s="17"/>
      <c r="T19" s="17" t="s">
        <v>18</v>
      </c>
      <c r="U19" s="17"/>
      <c r="V19" s="17"/>
      <c r="W19" s="17" t="s">
        <v>18</v>
      </c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</row>
    <row r="20" spans="1:49" x14ac:dyDescent="0.15">
      <c r="A20" s="156" t="s">
        <v>488</v>
      </c>
      <c r="B20" s="182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5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</row>
    <row r="21" spans="1:49" x14ac:dyDescent="0.15">
      <c r="A21" s="156" t="s">
        <v>123</v>
      </c>
      <c r="B21" s="182">
        <v>187</v>
      </c>
      <c r="C21" s="19">
        <v>231</v>
      </c>
      <c r="D21" s="19">
        <v>17</v>
      </c>
      <c r="E21" s="19">
        <v>21</v>
      </c>
      <c r="F21" s="19">
        <v>2</v>
      </c>
      <c r="G21" s="19">
        <v>2</v>
      </c>
      <c r="H21" s="19">
        <v>1</v>
      </c>
      <c r="I21" s="19">
        <v>1</v>
      </c>
      <c r="J21" s="19">
        <v>6</v>
      </c>
      <c r="K21" s="19">
        <f t="shared" si="0"/>
        <v>214</v>
      </c>
      <c r="L21" s="19">
        <v>0</v>
      </c>
      <c r="M21" s="19">
        <v>0</v>
      </c>
      <c r="N21" s="157">
        <f t="shared" si="1"/>
        <v>214</v>
      </c>
      <c r="O21" s="17"/>
      <c r="P21" s="17"/>
      <c r="Q21" s="17"/>
      <c r="R21" s="17"/>
      <c r="S21" s="17"/>
      <c r="T21" s="17" t="s">
        <v>18</v>
      </c>
      <c r="U21" s="17" t="s">
        <v>18</v>
      </c>
      <c r="V21" s="17" t="s">
        <v>18</v>
      </c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</row>
    <row r="22" spans="1:49" ht="14" thickBot="1" x14ac:dyDescent="0.2">
      <c r="A22" s="158" t="s">
        <v>124</v>
      </c>
      <c r="B22" s="206">
        <v>296</v>
      </c>
      <c r="C22" s="160">
        <v>371</v>
      </c>
      <c r="D22" s="160">
        <v>44</v>
      </c>
      <c r="E22" s="160">
        <v>49</v>
      </c>
      <c r="F22" s="160">
        <v>2</v>
      </c>
      <c r="G22" s="160">
        <v>2</v>
      </c>
      <c r="H22" s="160">
        <v>4</v>
      </c>
      <c r="I22" s="160">
        <v>5</v>
      </c>
      <c r="J22" s="160">
        <v>6</v>
      </c>
      <c r="K22" s="160">
        <f t="shared" si="0"/>
        <v>357</v>
      </c>
      <c r="L22" s="160">
        <v>0</v>
      </c>
      <c r="M22" s="160">
        <v>0</v>
      </c>
      <c r="N22" s="162">
        <f t="shared" si="1"/>
        <v>357</v>
      </c>
      <c r="O22" s="17"/>
      <c r="P22" s="17"/>
      <c r="Q22" s="17"/>
      <c r="R22" s="17"/>
      <c r="S22" s="17"/>
      <c r="T22" s="17"/>
      <c r="U22" s="17" t="s">
        <v>18</v>
      </c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</row>
    <row r="23" spans="1:49" ht="14" thickBot="1" x14ac:dyDescent="0.2">
      <c r="A23" s="543" t="s">
        <v>68</v>
      </c>
      <c r="B23" s="223">
        <f>SUM(B12:B22)</f>
        <v>2812</v>
      </c>
      <c r="C23" s="225">
        <f t="shared" ref="C23:M23" si="2">SUM(C12:C22)</f>
        <v>3374</v>
      </c>
      <c r="D23" s="225">
        <f t="shared" si="2"/>
        <v>290</v>
      </c>
      <c r="E23" s="225">
        <f t="shared" si="2"/>
        <v>357</v>
      </c>
      <c r="F23" s="225">
        <f t="shared" si="2"/>
        <v>32</v>
      </c>
      <c r="G23" s="225">
        <f t="shared" si="2"/>
        <v>35</v>
      </c>
      <c r="H23" s="225">
        <f t="shared" si="2"/>
        <v>41</v>
      </c>
      <c r="I23" s="225">
        <f t="shared" si="2"/>
        <v>66</v>
      </c>
      <c r="J23" s="225">
        <f t="shared" si="2"/>
        <v>52</v>
      </c>
      <c r="K23" s="225">
        <f t="shared" si="2"/>
        <v>3293</v>
      </c>
      <c r="L23" s="225">
        <f t="shared" si="2"/>
        <v>0</v>
      </c>
      <c r="M23" s="225">
        <f t="shared" si="2"/>
        <v>0</v>
      </c>
      <c r="N23" s="226">
        <f t="shared" si="1"/>
        <v>3293</v>
      </c>
      <c r="O23" s="16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</row>
    <row r="24" spans="1:49" ht="14" thickBot="1" x14ac:dyDescent="0.2">
      <c r="A24" s="259" t="s">
        <v>115</v>
      </c>
      <c r="B24" s="544"/>
      <c r="C24" s="547">
        <f>+C23/B23</f>
        <v>1.1998577524893315</v>
      </c>
      <c r="D24" s="557"/>
      <c r="E24" s="547">
        <f>+E23/D23</f>
        <v>1.2310344827586206</v>
      </c>
      <c r="F24" s="557"/>
      <c r="G24" s="547">
        <f>+G23/F23</f>
        <v>1.09375</v>
      </c>
      <c r="H24" s="370"/>
      <c r="I24" s="370"/>
      <c r="J24" s="370"/>
      <c r="K24" s="370"/>
      <c r="L24" s="370"/>
      <c r="M24" s="370"/>
      <c r="N24" s="441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</row>
    <row r="25" spans="1:49" ht="14" thickBot="1" x14ac:dyDescent="0.2">
      <c r="A25" s="543" t="s">
        <v>669</v>
      </c>
      <c r="B25" s="277">
        <f>+B23/K23</f>
        <v>0.8539325842696629</v>
      </c>
      <c r="C25" s="278"/>
      <c r="D25" s="279">
        <f>+D23/K23</f>
        <v>8.8065593683571211E-2</v>
      </c>
      <c r="E25" s="278" t="s">
        <v>18</v>
      </c>
      <c r="F25" s="279">
        <f>+F23/K23</f>
        <v>9.7175827512906172E-3</v>
      </c>
      <c r="G25" s="278"/>
      <c r="H25" s="279">
        <f>+H23/K23</f>
        <v>1.2450652900091102E-2</v>
      </c>
      <c r="I25" s="279">
        <f>+I23/K23</f>
        <v>2.0042514424536896E-2</v>
      </c>
      <c r="J25" s="279">
        <f>+J23/K23</f>
        <v>1.579107197084725E-2</v>
      </c>
      <c r="K25" s="279">
        <f>SUM(B25:J25)</f>
        <v>1</v>
      </c>
      <c r="L25" s="278"/>
      <c r="M25" s="278"/>
      <c r="N25" s="280"/>
      <c r="O25" s="17"/>
      <c r="P25" s="17"/>
      <c r="Q25" s="17" t="s">
        <v>18</v>
      </c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</row>
    <row r="26" spans="1:49" ht="14" thickBot="1" x14ac:dyDescent="0.2">
      <c r="A26" s="59" t="s">
        <v>166</v>
      </c>
      <c r="B26" s="558">
        <f>+B23/N23</f>
        <v>0.8539325842696629</v>
      </c>
      <c r="C26" s="559"/>
      <c r="D26" s="559">
        <f>+D23/N23</f>
        <v>8.8065593683571211E-2</v>
      </c>
      <c r="E26" s="559" t="s">
        <v>18</v>
      </c>
      <c r="F26" s="559">
        <f>+F23/N23</f>
        <v>9.7175827512906172E-3</v>
      </c>
      <c r="G26" s="559" t="s">
        <v>18</v>
      </c>
      <c r="H26" s="559">
        <f>+H23/N23</f>
        <v>1.2450652900091102E-2</v>
      </c>
      <c r="I26" s="559">
        <f>+I23/N23</f>
        <v>2.0042514424536896E-2</v>
      </c>
      <c r="J26" s="559">
        <f>+J23/N23</f>
        <v>1.579107197084725E-2</v>
      </c>
      <c r="K26" s="559">
        <f>SUM(B26:J26)</f>
        <v>1</v>
      </c>
      <c r="L26" s="559">
        <f>+L23/N23</f>
        <v>0</v>
      </c>
      <c r="M26" s="559">
        <f>+M23/N23</f>
        <v>0</v>
      </c>
      <c r="N26" s="560">
        <f>+K26+L26+M26</f>
        <v>1</v>
      </c>
      <c r="O26" s="20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</row>
    <row r="27" spans="1:49" ht="14" thickBot="1" x14ac:dyDescent="0.2">
      <c r="A27" s="429" t="s">
        <v>18</v>
      </c>
      <c r="B27" s="430" t="s">
        <v>18</v>
      </c>
      <c r="C27" s="430"/>
      <c r="D27" s="430"/>
      <c r="E27" s="430" t="s">
        <v>18</v>
      </c>
      <c r="F27" s="430"/>
      <c r="G27" s="430" t="s">
        <v>18</v>
      </c>
      <c r="H27" s="430"/>
      <c r="I27" s="430"/>
      <c r="J27" s="430"/>
      <c r="K27" s="430"/>
      <c r="L27" s="430"/>
      <c r="M27" s="430"/>
      <c r="N27" s="430"/>
      <c r="O27" s="430"/>
      <c r="P27" s="430"/>
      <c r="Q27" s="430"/>
      <c r="R27" s="430"/>
      <c r="S27" s="430"/>
      <c r="T27" s="430"/>
      <c r="U27" s="430"/>
      <c r="V27" s="430"/>
      <c r="W27" s="430"/>
      <c r="X27" s="430"/>
      <c r="Y27" s="430"/>
      <c r="Z27" s="430"/>
      <c r="AA27" s="430"/>
      <c r="AB27" s="945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</row>
    <row r="28" spans="1:49" x14ac:dyDescent="0.15">
      <c r="A28" s="55" t="s">
        <v>12</v>
      </c>
      <c r="B28" s="153"/>
      <c r="C28" s="154"/>
      <c r="D28" s="155" t="s">
        <v>18</v>
      </c>
      <c r="E28" s="155" t="s">
        <v>188</v>
      </c>
      <c r="F28" s="155" t="s">
        <v>18</v>
      </c>
      <c r="G28" s="155" t="s">
        <v>18</v>
      </c>
      <c r="H28" s="154"/>
      <c r="I28" s="154" t="s">
        <v>18</v>
      </c>
      <c r="J28" s="154"/>
      <c r="K28" s="154"/>
      <c r="L28" s="154"/>
      <c r="M28" s="154"/>
      <c r="N28" s="203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</row>
    <row r="29" spans="1:49" ht="14" thickBot="1" x14ac:dyDescent="0.2">
      <c r="A29" s="74" t="s">
        <v>649</v>
      </c>
      <c r="B29" s="156" t="s">
        <v>100</v>
      </c>
      <c r="C29" s="19"/>
      <c r="D29" s="18" t="s">
        <v>169</v>
      </c>
      <c r="E29" s="18" t="s">
        <v>189</v>
      </c>
      <c r="F29" s="18" t="s">
        <v>170</v>
      </c>
      <c r="G29" s="18" t="s">
        <v>184</v>
      </c>
      <c r="H29" s="18" t="s">
        <v>194</v>
      </c>
      <c r="I29" s="19"/>
      <c r="J29" s="19"/>
      <c r="K29" s="19"/>
      <c r="L29" s="19"/>
      <c r="M29" s="19"/>
      <c r="N29" s="157"/>
      <c r="O29" s="17"/>
      <c r="P29" s="17" t="s">
        <v>18</v>
      </c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</row>
    <row r="30" spans="1:49" x14ac:dyDescent="0.15">
      <c r="A30" s="74" t="s">
        <v>637</v>
      </c>
      <c r="B30" s="182"/>
      <c r="C30" s="19"/>
      <c r="D30" s="19" t="s">
        <v>193</v>
      </c>
      <c r="E30" s="23">
        <v>0.32708333333333334</v>
      </c>
      <c r="F30" s="19" t="s">
        <v>190</v>
      </c>
      <c r="G30" s="19" t="s">
        <v>185</v>
      </c>
      <c r="H30" s="19" t="s">
        <v>195</v>
      </c>
      <c r="I30" s="19"/>
      <c r="J30" s="19"/>
      <c r="K30" s="19"/>
      <c r="L30" s="19"/>
      <c r="M30" s="19"/>
      <c r="N30" s="157"/>
      <c r="O30" s="17"/>
      <c r="P30" s="153"/>
      <c r="Q30" s="155" t="s">
        <v>12</v>
      </c>
      <c r="R30" s="154"/>
      <c r="S30" s="154"/>
      <c r="T30" s="155" t="s">
        <v>383</v>
      </c>
      <c r="U30" s="154"/>
      <c r="V30" s="154"/>
      <c r="W30" s="154"/>
      <c r="X30" s="154"/>
      <c r="Y30" s="154"/>
      <c r="Z30" s="154"/>
      <c r="AA30" s="154"/>
      <c r="AB30" s="203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</row>
    <row r="31" spans="1:49" ht="14" thickBot="1" x14ac:dyDescent="0.2">
      <c r="A31" s="56"/>
      <c r="B31" s="206"/>
      <c r="C31" s="160"/>
      <c r="D31" s="160" t="s">
        <v>18</v>
      </c>
      <c r="E31" s="160"/>
      <c r="F31" s="160" t="s">
        <v>191</v>
      </c>
      <c r="G31" s="160"/>
      <c r="H31" s="160"/>
      <c r="I31" s="160"/>
      <c r="J31" s="160"/>
      <c r="K31" s="160"/>
      <c r="L31" s="160"/>
      <c r="M31" s="160"/>
      <c r="N31" s="162"/>
      <c r="O31" s="17"/>
      <c r="P31" s="182"/>
      <c r="Q31" s="75" t="s">
        <v>156</v>
      </c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57" t="s">
        <v>18</v>
      </c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</row>
    <row r="32" spans="1:49" ht="14" thickBot="1" x14ac:dyDescent="0.2">
      <c r="A32" s="53" t="s">
        <v>101</v>
      </c>
      <c r="B32" s="168" t="s">
        <v>103</v>
      </c>
      <c r="C32" s="155" t="s">
        <v>112</v>
      </c>
      <c r="D32" s="155" t="s">
        <v>105</v>
      </c>
      <c r="E32" s="155" t="s">
        <v>112</v>
      </c>
      <c r="F32" s="155" t="s">
        <v>105</v>
      </c>
      <c r="G32" s="155" t="s">
        <v>112</v>
      </c>
      <c r="H32" s="155" t="s">
        <v>108</v>
      </c>
      <c r="I32" s="155" t="s">
        <v>36</v>
      </c>
      <c r="J32" s="155" t="s">
        <v>109</v>
      </c>
      <c r="K32" s="155" t="s">
        <v>84</v>
      </c>
      <c r="L32" s="155" t="s">
        <v>110</v>
      </c>
      <c r="M32" s="155" t="s">
        <v>111</v>
      </c>
      <c r="N32" s="205" t="s">
        <v>167</v>
      </c>
      <c r="O32" s="16"/>
      <c r="P32" s="182"/>
      <c r="Q32" s="75" t="s">
        <v>173</v>
      </c>
      <c r="R32" s="21" t="s">
        <v>171</v>
      </c>
      <c r="S32" s="19"/>
      <c r="T32" s="19"/>
      <c r="U32" s="19"/>
      <c r="V32" s="19"/>
      <c r="W32" s="19"/>
      <c r="X32" s="19"/>
      <c r="Y32" s="19"/>
      <c r="Z32" s="19"/>
      <c r="AA32" s="19"/>
      <c r="AB32" s="15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</row>
    <row r="33" spans="1:49" ht="14" thickBot="1" x14ac:dyDescent="0.2">
      <c r="A33" s="54" t="s">
        <v>102</v>
      </c>
      <c r="B33" s="223" t="s">
        <v>104</v>
      </c>
      <c r="C33" s="225"/>
      <c r="D33" s="225" t="s">
        <v>106</v>
      </c>
      <c r="E33" s="225"/>
      <c r="F33" s="225" t="s">
        <v>107</v>
      </c>
      <c r="G33" s="225"/>
      <c r="H33" s="225"/>
      <c r="I33" s="225"/>
      <c r="J33" s="225"/>
      <c r="K33" s="225" t="s">
        <v>113</v>
      </c>
      <c r="L33" s="225"/>
      <c r="M33" s="225"/>
      <c r="N33" s="226" t="s">
        <v>168</v>
      </c>
      <c r="O33" s="16"/>
      <c r="P33" s="223" t="s">
        <v>175</v>
      </c>
      <c r="Q33" s="224">
        <v>0.85</v>
      </c>
      <c r="R33" s="224">
        <v>0.5</v>
      </c>
      <c r="S33" s="224">
        <v>0.15</v>
      </c>
      <c r="T33" s="224">
        <v>0.95</v>
      </c>
      <c r="U33" s="225" t="s">
        <v>172</v>
      </c>
      <c r="V33" s="225" t="s">
        <v>154</v>
      </c>
      <c r="W33" s="225" t="s">
        <v>178</v>
      </c>
      <c r="X33" s="225" t="s">
        <v>183</v>
      </c>
      <c r="Y33" s="225" t="s">
        <v>169</v>
      </c>
      <c r="Z33" s="225" t="s">
        <v>170</v>
      </c>
      <c r="AA33" s="225" t="s">
        <v>184</v>
      </c>
      <c r="AB33" s="226" t="s">
        <v>384</v>
      </c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</row>
    <row r="34" spans="1:49" x14ac:dyDescent="0.15">
      <c r="A34" s="53" t="s">
        <v>486</v>
      </c>
      <c r="B34" s="182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57"/>
      <c r="O34" s="17"/>
      <c r="P34" s="220" t="s">
        <v>176</v>
      </c>
      <c r="Q34" s="276">
        <v>35</v>
      </c>
      <c r="R34" s="276">
        <v>30</v>
      </c>
      <c r="S34" s="276">
        <v>26</v>
      </c>
      <c r="T34" s="276">
        <v>37.4</v>
      </c>
      <c r="U34" s="276" t="s">
        <v>679</v>
      </c>
      <c r="V34" s="276">
        <v>35</v>
      </c>
      <c r="W34" s="19" t="s">
        <v>179</v>
      </c>
      <c r="X34" s="23">
        <v>0.42499999999999999</v>
      </c>
      <c r="Y34" s="19" t="s">
        <v>174</v>
      </c>
      <c r="Z34" s="230" t="s">
        <v>219</v>
      </c>
      <c r="AA34" s="19" t="s">
        <v>185</v>
      </c>
      <c r="AB34" s="157">
        <v>112</v>
      </c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</row>
    <row r="35" spans="1:49" x14ac:dyDescent="0.15">
      <c r="A35" s="55" t="s">
        <v>158</v>
      </c>
      <c r="B35" s="182">
        <v>244</v>
      </c>
      <c r="C35" s="19">
        <v>283</v>
      </c>
      <c r="D35" s="19">
        <v>27</v>
      </c>
      <c r="E35" s="19">
        <v>30</v>
      </c>
      <c r="F35" s="19">
        <v>1</v>
      </c>
      <c r="G35" s="19">
        <v>1</v>
      </c>
      <c r="H35" s="19">
        <v>1</v>
      </c>
      <c r="I35" s="19">
        <v>4</v>
      </c>
      <c r="J35" s="19">
        <v>6</v>
      </c>
      <c r="K35" s="19">
        <f>+B35+D35+F35+H35+I35+J35</f>
        <v>283</v>
      </c>
      <c r="L35" s="19">
        <v>2</v>
      </c>
      <c r="M35" s="19">
        <v>0</v>
      </c>
      <c r="N35" s="157">
        <f>+K35+L35+M35</f>
        <v>285</v>
      </c>
      <c r="O35" s="17"/>
      <c r="P35" s="220" t="s">
        <v>177</v>
      </c>
      <c r="Q35" s="276">
        <v>37</v>
      </c>
      <c r="R35" s="276">
        <v>32</v>
      </c>
      <c r="S35" s="276">
        <v>27.8</v>
      </c>
      <c r="T35" s="276">
        <v>39</v>
      </c>
      <c r="U35" s="276" t="s">
        <v>677</v>
      </c>
      <c r="V35" s="276">
        <v>35</v>
      </c>
      <c r="W35" s="19" t="s">
        <v>182</v>
      </c>
      <c r="X35" s="23">
        <v>0.40972222222222227</v>
      </c>
      <c r="Y35" s="19" t="s">
        <v>181</v>
      </c>
      <c r="Z35" s="230" t="s">
        <v>219</v>
      </c>
      <c r="AA35" s="19" t="s">
        <v>185</v>
      </c>
      <c r="AB35" s="157">
        <v>112</v>
      </c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</row>
    <row r="36" spans="1:49" ht="14" thickBot="1" x14ac:dyDescent="0.2">
      <c r="A36" s="55" t="s">
        <v>157</v>
      </c>
      <c r="B36" s="182">
        <v>153</v>
      </c>
      <c r="C36" s="19">
        <v>175</v>
      </c>
      <c r="D36" s="19">
        <v>17</v>
      </c>
      <c r="E36" s="19">
        <v>17</v>
      </c>
      <c r="F36" s="19">
        <v>4</v>
      </c>
      <c r="G36" s="19">
        <v>4</v>
      </c>
      <c r="H36" s="19">
        <v>1</v>
      </c>
      <c r="I36" s="19">
        <v>9</v>
      </c>
      <c r="J36" s="19">
        <v>6</v>
      </c>
      <c r="K36" s="19">
        <f t="shared" ref="K36:K44" si="3">+B36+D36+F36+H36+I36+J36</f>
        <v>190</v>
      </c>
      <c r="L36" s="19">
        <v>2</v>
      </c>
      <c r="M36" s="19">
        <v>0</v>
      </c>
      <c r="N36" s="157">
        <f t="shared" ref="N36:N45" si="4">+K36+L36+M36</f>
        <v>192</v>
      </c>
      <c r="O36" s="17"/>
      <c r="P36" s="219" t="s">
        <v>784</v>
      </c>
      <c r="Q36" s="806">
        <v>47000</v>
      </c>
      <c r="R36" s="160"/>
      <c r="S36" s="160"/>
      <c r="T36" s="160"/>
      <c r="U36" s="160"/>
      <c r="V36" s="160"/>
      <c r="W36" s="160"/>
      <c r="X36" s="160"/>
      <c r="Y36" s="160" t="s">
        <v>180</v>
      </c>
      <c r="Z36" s="160"/>
      <c r="AA36" s="160"/>
      <c r="AB36" s="162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</row>
    <row r="37" spans="1:49" x14ac:dyDescent="0.15">
      <c r="A37" s="55" t="s">
        <v>159</v>
      </c>
      <c r="B37" s="182">
        <v>240</v>
      </c>
      <c r="C37" s="19">
        <v>278</v>
      </c>
      <c r="D37" s="19">
        <v>37</v>
      </c>
      <c r="E37" s="19">
        <v>41</v>
      </c>
      <c r="F37" s="19">
        <v>2</v>
      </c>
      <c r="G37" s="19">
        <v>2</v>
      </c>
      <c r="H37" s="19">
        <v>6</v>
      </c>
      <c r="I37" s="19">
        <v>3</v>
      </c>
      <c r="J37" s="19">
        <v>6</v>
      </c>
      <c r="K37" s="19">
        <f t="shared" si="3"/>
        <v>294</v>
      </c>
      <c r="L37" s="19">
        <v>2</v>
      </c>
      <c r="M37" s="19">
        <v>0</v>
      </c>
      <c r="N37" s="157">
        <f t="shared" si="4"/>
        <v>296</v>
      </c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</row>
    <row r="38" spans="1:49" x14ac:dyDescent="0.15">
      <c r="A38" s="55" t="s">
        <v>160</v>
      </c>
      <c r="B38" s="182">
        <v>113</v>
      </c>
      <c r="C38" s="19">
        <v>133</v>
      </c>
      <c r="D38" s="19">
        <v>17</v>
      </c>
      <c r="E38" s="19">
        <v>21</v>
      </c>
      <c r="F38" s="19">
        <v>4</v>
      </c>
      <c r="G38" s="19">
        <v>4</v>
      </c>
      <c r="H38" s="19">
        <v>0</v>
      </c>
      <c r="I38" s="19">
        <v>5</v>
      </c>
      <c r="J38" s="19">
        <v>5</v>
      </c>
      <c r="K38" s="19">
        <f t="shared" si="3"/>
        <v>144</v>
      </c>
      <c r="L38" s="19">
        <v>3</v>
      </c>
      <c r="M38" s="19">
        <v>0</v>
      </c>
      <c r="N38" s="157">
        <f t="shared" si="4"/>
        <v>147</v>
      </c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</row>
    <row r="39" spans="1:49" x14ac:dyDescent="0.15">
      <c r="A39" s="55" t="s">
        <v>161</v>
      </c>
      <c r="B39" s="182">
        <v>218</v>
      </c>
      <c r="C39" s="19">
        <v>264</v>
      </c>
      <c r="D39" s="19">
        <v>32</v>
      </c>
      <c r="E39" s="19">
        <v>41</v>
      </c>
      <c r="F39" s="19">
        <v>4</v>
      </c>
      <c r="G39" s="19">
        <v>5</v>
      </c>
      <c r="H39" s="19">
        <v>7</v>
      </c>
      <c r="I39" s="19">
        <v>4</v>
      </c>
      <c r="J39" s="19">
        <v>3</v>
      </c>
      <c r="K39" s="19">
        <f t="shared" si="3"/>
        <v>268</v>
      </c>
      <c r="L39" s="19">
        <v>14</v>
      </c>
      <c r="M39" s="19">
        <v>0</v>
      </c>
      <c r="N39" s="157">
        <f t="shared" si="4"/>
        <v>282</v>
      </c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</row>
    <row r="40" spans="1:49" x14ac:dyDescent="0.15">
      <c r="A40" s="55" t="s">
        <v>162</v>
      </c>
      <c r="B40" s="182">
        <v>118</v>
      </c>
      <c r="C40" s="19">
        <v>131</v>
      </c>
      <c r="D40" s="19">
        <v>16</v>
      </c>
      <c r="E40" s="19">
        <v>16</v>
      </c>
      <c r="F40" s="19">
        <v>7</v>
      </c>
      <c r="G40" s="19">
        <v>7</v>
      </c>
      <c r="H40" s="19">
        <v>2</v>
      </c>
      <c r="I40" s="19">
        <v>4</v>
      </c>
      <c r="J40" s="19">
        <v>3</v>
      </c>
      <c r="K40" s="19">
        <f t="shared" si="3"/>
        <v>150</v>
      </c>
      <c r="L40" s="19">
        <v>8</v>
      </c>
      <c r="M40" s="19">
        <v>0</v>
      </c>
      <c r="N40" s="157">
        <f t="shared" si="4"/>
        <v>158</v>
      </c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</row>
    <row r="41" spans="1:49" x14ac:dyDescent="0.15">
      <c r="A41" s="55" t="s">
        <v>163</v>
      </c>
      <c r="B41" s="182">
        <v>214</v>
      </c>
      <c r="C41" s="19">
        <v>252</v>
      </c>
      <c r="D41" s="19">
        <v>27</v>
      </c>
      <c r="E41" s="19">
        <v>32</v>
      </c>
      <c r="F41" s="19">
        <v>1</v>
      </c>
      <c r="G41" s="19">
        <v>1</v>
      </c>
      <c r="H41" s="19">
        <v>5</v>
      </c>
      <c r="I41" s="19">
        <v>4</v>
      </c>
      <c r="J41" s="19">
        <v>6</v>
      </c>
      <c r="K41" s="19">
        <f t="shared" si="3"/>
        <v>257</v>
      </c>
      <c r="L41" s="19">
        <v>9</v>
      </c>
      <c r="M41" s="19">
        <v>1</v>
      </c>
      <c r="N41" s="157">
        <f t="shared" si="4"/>
        <v>267</v>
      </c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</row>
    <row r="42" spans="1:49" x14ac:dyDescent="0.15">
      <c r="A42" s="55" t="s">
        <v>164</v>
      </c>
      <c r="B42" s="182">
        <v>96</v>
      </c>
      <c r="C42" s="19">
        <v>113</v>
      </c>
      <c r="D42" s="19">
        <v>30</v>
      </c>
      <c r="E42" s="19">
        <v>33</v>
      </c>
      <c r="F42" s="19">
        <v>4</v>
      </c>
      <c r="G42" s="19">
        <v>4</v>
      </c>
      <c r="H42" s="19">
        <v>0</v>
      </c>
      <c r="I42" s="19">
        <v>9</v>
      </c>
      <c r="J42" s="19">
        <v>15</v>
      </c>
      <c r="K42" s="19">
        <f t="shared" si="3"/>
        <v>154</v>
      </c>
      <c r="L42" s="19">
        <v>2</v>
      </c>
      <c r="M42" s="19">
        <v>0</v>
      </c>
      <c r="N42" s="157">
        <f t="shared" si="4"/>
        <v>156</v>
      </c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</row>
    <row r="43" spans="1:49" x14ac:dyDescent="0.15">
      <c r="A43" s="55" t="s">
        <v>165</v>
      </c>
      <c r="B43" s="182">
        <v>205</v>
      </c>
      <c r="C43" s="19">
        <v>250</v>
      </c>
      <c r="D43" s="19">
        <v>34</v>
      </c>
      <c r="E43" s="19">
        <v>42</v>
      </c>
      <c r="F43" s="19">
        <v>2</v>
      </c>
      <c r="G43" s="19">
        <v>2</v>
      </c>
      <c r="H43" s="19">
        <v>1</v>
      </c>
      <c r="I43" s="19">
        <v>6</v>
      </c>
      <c r="J43" s="19">
        <v>10</v>
      </c>
      <c r="K43" s="19">
        <f t="shared" si="3"/>
        <v>258</v>
      </c>
      <c r="L43" s="19">
        <v>6</v>
      </c>
      <c r="M43" s="19">
        <v>0</v>
      </c>
      <c r="N43" s="157">
        <f t="shared" si="4"/>
        <v>264</v>
      </c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</row>
    <row r="44" spans="1:49" ht="14" thickBot="1" x14ac:dyDescent="0.2">
      <c r="A44" s="54" t="s">
        <v>160</v>
      </c>
      <c r="B44" s="206">
        <v>100</v>
      </c>
      <c r="C44" s="160">
        <v>118</v>
      </c>
      <c r="D44" s="160">
        <v>27</v>
      </c>
      <c r="E44" s="160">
        <v>30</v>
      </c>
      <c r="F44" s="160">
        <v>5</v>
      </c>
      <c r="G44" s="160">
        <v>5</v>
      </c>
      <c r="H44" s="160">
        <v>0</v>
      </c>
      <c r="I44" s="160">
        <v>2</v>
      </c>
      <c r="J44" s="160">
        <v>14</v>
      </c>
      <c r="K44" s="160">
        <f t="shared" si="3"/>
        <v>148</v>
      </c>
      <c r="L44" s="160">
        <v>4</v>
      </c>
      <c r="M44" s="160">
        <v>0</v>
      </c>
      <c r="N44" s="162">
        <f t="shared" si="4"/>
        <v>152</v>
      </c>
      <c r="O44" s="17"/>
      <c r="P44" s="17"/>
      <c r="Q44" s="17"/>
      <c r="R44" s="17"/>
      <c r="S44" s="258" t="s">
        <v>18</v>
      </c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</row>
    <row r="45" spans="1:49" ht="14" thickBot="1" x14ac:dyDescent="0.2">
      <c r="A45" s="158" t="s">
        <v>68</v>
      </c>
      <c r="B45" s="223">
        <f t="shared" ref="B45:M45" si="5">SUM(B35:B44)</f>
        <v>1701</v>
      </c>
      <c r="C45" s="225">
        <f t="shared" si="5"/>
        <v>1997</v>
      </c>
      <c r="D45" s="225">
        <f t="shared" si="5"/>
        <v>264</v>
      </c>
      <c r="E45" s="225">
        <f t="shared" si="5"/>
        <v>303</v>
      </c>
      <c r="F45" s="225">
        <f t="shared" si="5"/>
        <v>34</v>
      </c>
      <c r="G45" s="225">
        <f t="shared" si="5"/>
        <v>35</v>
      </c>
      <c r="H45" s="225">
        <f t="shared" si="5"/>
        <v>23</v>
      </c>
      <c r="I45" s="225">
        <f t="shared" si="5"/>
        <v>50</v>
      </c>
      <c r="J45" s="225">
        <f t="shared" si="5"/>
        <v>74</v>
      </c>
      <c r="K45" s="225">
        <f t="shared" si="5"/>
        <v>2146</v>
      </c>
      <c r="L45" s="225">
        <f t="shared" si="5"/>
        <v>52</v>
      </c>
      <c r="M45" s="225">
        <f t="shared" si="5"/>
        <v>1</v>
      </c>
      <c r="N45" s="226">
        <f t="shared" si="4"/>
        <v>2199</v>
      </c>
      <c r="O45" s="16"/>
      <c r="P45" s="17"/>
      <c r="Q45" s="17"/>
      <c r="R45" s="17"/>
      <c r="S45" s="17"/>
      <c r="T45" s="17"/>
      <c r="U45" s="17"/>
      <c r="V45" s="17"/>
      <c r="W45" s="17"/>
      <c r="X45" s="258" t="s">
        <v>18</v>
      </c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</row>
    <row r="46" spans="1:49" ht="14" thickBot="1" x14ac:dyDescent="0.2">
      <c r="A46" s="231" t="s">
        <v>115</v>
      </c>
      <c r="B46" s="446"/>
      <c r="C46" s="547">
        <f>+C45/B45</f>
        <v>1.1740152851263963</v>
      </c>
      <c r="D46" s="548"/>
      <c r="E46" s="547">
        <f>+E45/D45</f>
        <v>1.1477272727272727</v>
      </c>
      <c r="F46" s="548"/>
      <c r="G46" s="547">
        <f>+G45/F45</f>
        <v>1.0294117647058822</v>
      </c>
      <c r="H46" s="282"/>
      <c r="I46" s="282"/>
      <c r="J46" s="282"/>
      <c r="K46" s="282"/>
      <c r="L46" s="282"/>
      <c r="M46" s="282"/>
      <c r="N46" s="283"/>
      <c r="O46" s="17"/>
      <c r="P46" s="17"/>
      <c r="Q46" s="17"/>
      <c r="R46" s="17"/>
      <c r="S46" s="258" t="s">
        <v>18</v>
      </c>
      <c r="T46" s="17"/>
      <c r="U46" s="17"/>
      <c r="V46" s="17"/>
      <c r="W46" s="17"/>
      <c r="X46" s="258" t="s">
        <v>18</v>
      </c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</row>
    <row r="47" spans="1:49" ht="14" thickBot="1" x14ac:dyDescent="0.2">
      <c r="A47" s="229" t="s">
        <v>670</v>
      </c>
      <c r="B47" s="277">
        <f>+B45/K45</f>
        <v>0.79263746505125821</v>
      </c>
      <c r="C47" s="282"/>
      <c r="D47" s="279">
        <f>+D45/K45</f>
        <v>0.12301957129543337</v>
      </c>
      <c r="E47" s="282"/>
      <c r="F47" s="279">
        <f>+F45/K45</f>
        <v>1.5843429636533086E-2</v>
      </c>
      <c r="G47" s="282"/>
      <c r="H47" s="279">
        <f>+H45/K45</f>
        <v>1.0717614165890028E-2</v>
      </c>
      <c r="I47" s="279">
        <f>+I45/K45</f>
        <v>2.3299161230195712E-2</v>
      </c>
      <c r="J47" s="279">
        <f>+J45/K45</f>
        <v>3.4482758620689655E-2</v>
      </c>
      <c r="K47" s="279">
        <f>SUM(B47:J47)</f>
        <v>1</v>
      </c>
      <c r="L47" s="282"/>
      <c r="M47" s="282"/>
      <c r="N47" s="283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</row>
    <row r="48" spans="1:49" ht="14" thickBot="1" x14ac:dyDescent="0.2">
      <c r="A48" s="163" t="s">
        <v>114</v>
      </c>
      <c r="B48" s="556">
        <f>+B45/N45</f>
        <v>0.77353342428376537</v>
      </c>
      <c r="C48" s="549"/>
      <c r="D48" s="549">
        <f>+D45/N45</f>
        <v>0.12005457025920874</v>
      </c>
      <c r="E48" s="549" t="s">
        <v>18</v>
      </c>
      <c r="F48" s="549">
        <f>+F45/N45</f>
        <v>1.5461573442473852E-2</v>
      </c>
      <c r="G48" s="549"/>
      <c r="H48" s="549">
        <f>+H45/N45</f>
        <v>1.0459299681673489E-2</v>
      </c>
      <c r="I48" s="549">
        <f>+I45/N45</f>
        <v>2.2737608003638016E-2</v>
      </c>
      <c r="J48" s="549">
        <f>+J45/N45</f>
        <v>3.3651659845384263E-2</v>
      </c>
      <c r="K48" s="549">
        <f>SUM(B48:J48)</f>
        <v>0.97589813551614379</v>
      </c>
      <c r="L48" s="549">
        <f>+L45/N45</f>
        <v>2.364711232378354E-2</v>
      </c>
      <c r="M48" s="549">
        <f>+M45/N45</f>
        <v>4.5475216007276033E-4</v>
      </c>
      <c r="N48" s="550">
        <f>+K48+L48+M48</f>
        <v>1.0000000000000002</v>
      </c>
      <c r="O48" s="20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</row>
    <row r="49" spans="1:49" ht="14" thickBot="1" x14ac:dyDescent="0.2">
      <c r="A49" s="429" t="s">
        <v>18</v>
      </c>
      <c r="B49" s="430" t="s">
        <v>18</v>
      </c>
      <c r="C49" s="430"/>
      <c r="D49" s="430"/>
      <c r="E49" s="430" t="s">
        <v>18</v>
      </c>
      <c r="F49" s="430"/>
      <c r="G49" s="430" t="s">
        <v>18</v>
      </c>
      <c r="H49" s="430"/>
      <c r="I49" s="430"/>
      <c r="J49" s="430"/>
      <c r="K49" s="430"/>
      <c r="L49" s="430"/>
      <c r="M49" s="430"/>
      <c r="N49" s="430"/>
      <c r="O49" s="430"/>
      <c r="P49" s="430"/>
      <c r="Q49" s="430"/>
      <c r="R49" s="430"/>
      <c r="S49" s="430"/>
      <c r="T49" s="430"/>
      <c r="U49" s="430"/>
      <c r="V49" s="430"/>
      <c r="W49" s="430"/>
      <c r="X49" s="430"/>
      <c r="Y49" s="430"/>
      <c r="Z49" s="430"/>
      <c r="AA49" s="430"/>
      <c r="AB49" s="945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</row>
    <row r="50" spans="1:49" x14ac:dyDescent="0.15">
      <c r="A50" s="201" t="s">
        <v>12</v>
      </c>
      <c r="B50" s="153"/>
      <c r="C50" s="154"/>
      <c r="D50" s="155" t="s">
        <v>18</v>
      </c>
      <c r="E50" s="155" t="s">
        <v>188</v>
      </c>
      <c r="F50" s="155" t="s">
        <v>18</v>
      </c>
      <c r="G50" s="155" t="s">
        <v>18</v>
      </c>
      <c r="H50" s="154"/>
      <c r="I50" s="431" t="s">
        <v>18</v>
      </c>
      <c r="J50" s="431"/>
      <c r="K50" s="431"/>
      <c r="L50" s="431"/>
      <c r="M50" s="431"/>
      <c r="N50" s="432"/>
      <c r="O50" s="422"/>
      <c r="P50" s="422"/>
      <c r="Q50" s="423"/>
      <c r="R50" s="423"/>
      <c r="S50" s="423"/>
      <c r="T50" s="423"/>
      <c r="U50" s="423"/>
      <c r="V50" s="423"/>
      <c r="W50" s="423"/>
      <c r="X50" s="423"/>
      <c r="Y50" s="423"/>
      <c r="Z50" s="423"/>
      <c r="AA50" s="423"/>
      <c r="AB50" s="423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</row>
    <row r="51" spans="1:49" ht="14" thickBot="1" x14ac:dyDescent="0.2">
      <c r="A51" s="202" t="s">
        <v>641</v>
      </c>
      <c r="B51" s="156" t="s">
        <v>100</v>
      </c>
      <c r="C51" s="19"/>
      <c r="D51" s="18" t="s">
        <v>169</v>
      </c>
      <c r="E51" s="18" t="s">
        <v>189</v>
      </c>
      <c r="F51" s="18" t="s">
        <v>170</v>
      </c>
      <c r="G51" s="18" t="s">
        <v>184</v>
      </c>
      <c r="H51" s="18" t="s">
        <v>194</v>
      </c>
      <c r="I51" s="433"/>
      <c r="J51" s="433"/>
      <c r="K51" s="433"/>
      <c r="L51" s="433"/>
      <c r="M51" s="433"/>
      <c r="N51" s="434"/>
      <c r="O51" s="422"/>
      <c r="P51" s="422"/>
      <c r="Q51" s="423"/>
      <c r="R51" s="423"/>
      <c r="S51" s="423"/>
      <c r="T51" s="423"/>
      <c r="U51" s="423"/>
      <c r="V51" s="423"/>
      <c r="W51" s="423"/>
      <c r="X51" s="423"/>
      <c r="Y51" s="423"/>
      <c r="Z51" s="423"/>
      <c r="AA51" s="423"/>
      <c r="AB51" s="423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</row>
    <row r="52" spans="1:49" x14ac:dyDescent="0.15">
      <c r="A52" s="202"/>
      <c r="B52" s="156"/>
      <c r="C52" s="19"/>
      <c r="D52" s="230">
        <v>11.06</v>
      </c>
      <c r="E52" s="235">
        <v>0.33402777777777781</v>
      </c>
      <c r="F52" s="230" t="s">
        <v>191</v>
      </c>
      <c r="G52" s="230" t="s">
        <v>185</v>
      </c>
      <c r="H52" s="230">
        <v>51</v>
      </c>
      <c r="I52" s="433"/>
      <c r="J52" s="433"/>
      <c r="K52" s="433"/>
      <c r="L52" s="433"/>
      <c r="M52" s="433"/>
      <c r="N52" s="434"/>
      <c r="O52" s="422"/>
      <c r="P52" s="153"/>
      <c r="Q52" s="155" t="s">
        <v>12</v>
      </c>
      <c r="R52" s="154"/>
      <c r="S52" s="154"/>
      <c r="T52" s="155" t="s">
        <v>383</v>
      </c>
      <c r="U52" s="154"/>
      <c r="V52" s="154"/>
      <c r="W52" s="154"/>
      <c r="X52" s="154"/>
      <c r="Y52" s="154"/>
      <c r="Z52" s="154"/>
      <c r="AA52" s="154"/>
      <c r="AB52" s="203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</row>
    <row r="53" spans="1:49" ht="14" thickBot="1" x14ac:dyDescent="0.2">
      <c r="A53" s="437"/>
      <c r="B53" s="158"/>
      <c r="C53" s="160"/>
      <c r="D53" s="228"/>
      <c r="E53" s="236">
        <v>0.58958333333333335</v>
      </c>
      <c r="F53" s="228" t="s">
        <v>191</v>
      </c>
      <c r="G53" s="228" t="s">
        <v>185</v>
      </c>
      <c r="H53" s="228" t="s">
        <v>473</v>
      </c>
      <c r="I53" s="435"/>
      <c r="J53" s="435"/>
      <c r="K53" s="435"/>
      <c r="L53" s="435"/>
      <c r="M53" s="435"/>
      <c r="N53" s="436"/>
      <c r="O53" s="422"/>
      <c r="P53" s="182"/>
      <c r="Q53" s="75" t="s">
        <v>457</v>
      </c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57" t="s">
        <v>18</v>
      </c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</row>
    <row r="54" spans="1:49" ht="14" thickBot="1" x14ac:dyDescent="0.2">
      <c r="A54" s="53" t="s">
        <v>101</v>
      </c>
      <c r="B54" s="168" t="s">
        <v>103</v>
      </c>
      <c r="C54" s="155" t="s">
        <v>112</v>
      </c>
      <c r="D54" s="155" t="s">
        <v>105</v>
      </c>
      <c r="E54" s="155" t="s">
        <v>112</v>
      </c>
      <c r="F54" s="155" t="s">
        <v>105</v>
      </c>
      <c r="G54" s="155" t="s">
        <v>112</v>
      </c>
      <c r="H54" s="155" t="s">
        <v>108</v>
      </c>
      <c r="I54" s="155" t="s">
        <v>36</v>
      </c>
      <c r="J54" s="155" t="s">
        <v>109</v>
      </c>
      <c r="K54" s="155" t="s">
        <v>84</v>
      </c>
      <c r="L54" s="155" t="s">
        <v>110</v>
      </c>
      <c r="M54" s="155" t="s">
        <v>111</v>
      </c>
      <c r="N54" s="205" t="s">
        <v>167</v>
      </c>
      <c r="O54" s="424"/>
      <c r="P54" s="182"/>
      <c r="Q54" s="75" t="s">
        <v>130</v>
      </c>
      <c r="R54" s="21" t="s">
        <v>171</v>
      </c>
      <c r="S54" s="19"/>
      <c r="T54" s="19"/>
      <c r="U54" s="19"/>
      <c r="V54" s="19"/>
      <c r="W54" s="19"/>
      <c r="X54" s="19"/>
      <c r="Y54" s="19"/>
      <c r="Z54" s="19"/>
      <c r="AA54" s="19"/>
      <c r="AB54" s="15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</row>
    <row r="55" spans="1:49" ht="14" thickBot="1" x14ac:dyDescent="0.2">
      <c r="A55" s="54" t="s">
        <v>102</v>
      </c>
      <c r="B55" s="219" t="s">
        <v>104</v>
      </c>
      <c r="C55" s="159"/>
      <c r="D55" s="159" t="s">
        <v>106</v>
      </c>
      <c r="E55" s="159"/>
      <c r="F55" s="159" t="s">
        <v>107</v>
      </c>
      <c r="G55" s="159"/>
      <c r="H55" s="159"/>
      <c r="I55" s="159"/>
      <c r="J55" s="159"/>
      <c r="K55" s="159" t="s">
        <v>113</v>
      </c>
      <c r="L55" s="159"/>
      <c r="M55" s="159"/>
      <c r="N55" s="165" t="s">
        <v>168</v>
      </c>
      <c r="O55" s="424"/>
      <c r="P55" s="223" t="s">
        <v>175</v>
      </c>
      <c r="Q55" s="224">
        <v>0.85</v>
      </c>
      <c r="R55" s="224">
        <v>0.5</v>
      </c>
      <c r="S55" s="224">
        <v>0.15</v>
      </c>
      <c r="T55" s="224">
        <v>0.95</v>
      </c>
      <c r="U55" s="225" t="s">
        <v>172</v>
      </c>
      <c r="V55" s="225" t="s">
        <v>154</v>
      </c>
      <c r="W55" s="225" t="s">
        <v>178</v>
      </c>
      <c r="X55" s="225" t="s">
        <v>183</v>
      </c>
      <c r="Y55" s="225" t="s">
        <v>169</v>
      </c>
      <c r="Z55" s="225" t="s">
        <v>170</v>
      </c>
      <c r="AA55" s="225" t="s">
        <v>184</v>
      </c>
      <c r="AB55" s="226" t="s">
        <v>384</v>
      </c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</row>
    <row r="56" spans="1:49" x14ac:dyDescent="0.15">
      <c r="A56" s="53" t="s">
        <v>474</v>
      </c>
      <c r="B56" s="70"/>
      <c r="C56" s="19"/>
      <c r="D56" s="18"/>
      <c r="E56" s="18"/>
      <c r="F56" s="18"/>
      <c r="G56" s="18"/>
      <c r="H56" s="18"/>
      <c r="I56" s="433"/>
      <c r="J56" s="433"/>
      <c r="K56" s="433"/>
      <c r="L56" s="433"/>
      <c r="M56" s="433"/>
      <c r="N56" s="433"/>
      <c r="O56" s="424"/>
      <c r="P56" s="220" t="s">
        <v>176</v>
      </c>
      <c r="Q56" s="276">
        <v>38</v>
      </c>
      <c r="R56" s="276">
        <v>33.5</v>
      </c>
      <c r="S56" s="276">
        <v>29</v>
      </c>
      <c r="T56" s="276">
        <v>40</v>
      </c>
      <c r="U56" s="276" t="s">
        <v>677</v>
      </c>
      <c r="V56" s="276">
        <v>35</v>
      </c>
      <c r="W56" s="230" t="s">
        <v>484</v>
      </c>
      <c r="X56" s="23">
        <v>0.34375</v>
      </c>
      <c r="Y56" s="230" t="s">
        <v>458</v>
      </c>
      <c r="Z56" s="230" t="s">
        <v>191</v>
      </c>
      <c r="AA56" s="19" t="s">
        <v>185</v>
      </c>
      <c r="AB56" s="157">
        <v>111</v>
      </c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</row>
    <row r="57" spans="1:49" x14ac:dyDescent="0.15">
      <c r="A57" s="449" t="s">
        <v>475</v>
      </c>
      <c r="B57" s="230">
        <v>120</v>
      </c>
      <c r="C57" s="19">
        <v>127</v>
      </c>
      <c r="D57" s="230">
        <v>9</v>
      </c>
      <c r="E57" s="230">
        <v>11</v>
      </c>
      <c r="F57" s="230">
        <v>1</v>
      </c>
      <c r="G57" s="230">
        <v>1</v>
      </c>
      <c r="H57" s="230">
        <v>0</v>
      </c>
      <c r="I57" s="427">
        <v>3</v>
      </c>
      <c r="J57" s="427">
        <v>0</v>
      </c>
      <c r="K57" s="19">
        <f t="shared" ref="K57:K69" si="6">+B57+D57+F57+H57+I57+J57</f>
        <v>133</v>
      </c>
      <c r="L57" s="427">
        <v>1</v>
      </c>
      <c r="M57" s="427">
        <v>0</v>
      </c>
      <c r="N57" s="157">
        <f t="shared" ref="N57:N69" si="7">+K57+L57+M57</f>
        <v>134</v>
      </c>
      <c r="O57" s="424"/>
      <c r="P57" s="220" t="s">
        <v>177</v>
      </c>
      <c r="Q57" s="276">
        <v>37</v>
      </c>
      <c r="R57" s="276">
        <v>32</v>
      </c>
      <c r="S57" s="276">
        <v>28</v>
      </c>
      <c r="T57" s="276">
        <v>39</v>
      </c>
      <c r="U57" s="276" t="s">
        <v>678</v>
      </c>
      <c r="V57" s="276">
        <v>35</v>
      </c>
      <c r="W57" s="19" t="s">
        <v>182</v>
      </c>
      <c r="X57" s="23">
        <v>0.40972222222222227</v>
      </c>
      <c r="Y57" s="258" t="s">
        <v>485</v>
      </c>
      <c r="Z57" s="230" t="s">
        <v>219</v>
      </c>
      <c r="AA57" s="19" t="s">
        <v>185</v>
      </c>
      <c r="AB57" s="157">
        <v>112</v>
      </c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</row>
    <row r="58" spans="1:49" x14ac:dyDescent="0.15">
      <c r="A58" s="449" t="s">
        <v>476</v>
      </c>
      <c r="B58" s="230">
        <v>199</v>
      </c>
      <c r="C58" s="19">
        <v>230</v>
      </c>
      <c r="D58" s="230">
        <v>23</v>
      </c>
      <c r="E58" s="230">
        <v>26</v>
      </c>
      <c r="F58" s="230">
        <v>5</v>
      </c>
      <c r="G58" s="230">
        <v>5</v>
      </c>
      <c r="H58" s="230">
        <v>0</v>
      </c>
      <c r="I58" s="427">
        <v>4</v>
      </c>
      <c r="J58" s="427">
        <v>0</v>
      </c>
      <c r="K58" s="19">
        <f t="shared" si="6"/>
        <v>231</v>
      </c>
      <c r="L58" s="427">
        <v>0</v>
      </c>
      <c r="M58" s="427">
        <v>0</v>
      </c>
      <c r="N58" s="157">
        <f t="shared" si="7"/>
        <v>231</v>
      </c>
      <c r="O58" s="424"/>
      <c r="P58" s="220"/>
      <c r="Q58" s="276"/>
      <c r="R58" s="276"/>
      <c r="S58" s="276"/>
      <c r="T58" s="276"/>
      <c r="U58" s="276"/>
      <c r="V58" s="276"/>
      <c r="W58" s="19"/>
      <c r="X58" s="23"/>
      <c r="Y58" s="19" t="s">
        <v>181</v>
      </c>
      <c r="Z58" s="230"/>
      <c r="AA58" s="19"/>
      <c r="AB58" s="15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</row>
    <row r="59" spans="1:49" ht="14" thickBot="1" x14ac:dyDescent="0.2">
      <c r="A59" s="449" t="s">
        <v>477</v>
      </c>
      <c r="B59" s="230">
        <v>96</v>
      </c>
      <c r="C59" s="19">
        <v>109</v>
      </c>
      <c r="D59" s="230">
        <v>5</v>
      </c>
      <c r="E59" s="230">
        <v>5</v>
      </c>
      <c r="F59" s="230">
        <v>2</v>
      </c>
      <c r="G59" s="230">
        <v>2</v>
      </c>
      <c r="H59" s="18">
        <v>1</v>
      </c>
      <c r="I59" s="427">
        <v>2</v>
      </c>
      <c r="J59" s="427">
        <v>2</v>
      </c>
      <c r="K59" s="19">
        <f t="shared" si="6"/>
        <v>108</v>
      </c>
      <c r="L59" s="427">
        <v>4</v>
      </c>
      <c r="M59" s="427">
        <v>0</v>
      </c>
      <c r="N59" s="157">
        <f t="shared" si="7"/>
        <v>112</v>
      </c>
      <c r="O59" s="424"/>
      <c r="P59" s="219" t="s">
        <v>784</v>
      </c>
      <c r="Q59" s="858">
        <v>15600</v>
      </c>
      <c r="R59" s="160"/>
      <c r="S59" s="160"/>
      <c r="T59" s="160"/>
      <c r="U59" s="160"/>
      <c r="V59" s="160"/>
      <c r="W59" s="160"/>
      <c r="X59" s="160"/>
      <c r="Y59" s="160" t="s">
        <v>180</v>
      </c>
      <c r="Z59" s="160"/>
      <c r="AA59" s="160"/>
      <c r="AB59" s="162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</row>
    <row r="60" spans="1:49" x14ac:dyDescent="0.15">
      <c r="A60" s="450" t="s">
        <v>482</v>
      </c>
      <c r="B60" s="427">
        <v>127</v>
      </c>
      <c r="C60" s="426">
        <v>145</v>
      </c>
      <c r="D60" s="427">
        <v>15</v>
      </c>
      <c r="E60" s="427">
        <v>16</v>
      </c>
      <c r="F60" s="427">
        <v>1</v>
      </c>
      <c r="G60" s="427">
        <v>1</v>
      </c>
      <c r="H60" s="428">
        <v>0</v>
      </c>
      <c r="I60" s="427">
        <v>4</v>
      </c>
      <c r="J60" s="427">
        <v>0</v>
      </c>
      <c r="K60" s="19">
        <f t="shared" si="6"/>
        <v>147</v>
      </c>
      <c r="L60" s="427">
        <v>2</v>
      </c>
      <c r="M60" s="427">
        <v>0</v>
      </c>
      <c r="N60" s="157">
        <f t="shared" si="7"/>
        <v>149</v>
      </c>
      <c r="O60" s="424" t="s">
        <v>421</v>
      </c>
      <c r="P60" s="422"/>
      <c r="Q60" s="423"/>
      <c r="R60" s="423"/>
      <c r="S60" s="423"/>
      <c r="T60" s="423"/>
      <c r="U60" s="423"/>
      <c r="V60" s="423"/>
      <c r="W60" s="423"/>
      <c r="X60" s="423"/>
      <c r="Y60" s="423"/>
      <c r="Z60" s="423"/>
      <c r="AA60" s="423"/>
      <c r="AB60" s="423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</row>
    <row r="61" spans="1:49" x14ac:dyDescent="0.15">
      <c r="A61" s="450" t="s">
        <v>483</v>
      </c>
      <c r="B61" s="427">
        <v>93</v>
      </c>
      <c r="C61" s="426">
        <v>105</v>
      </c>
      <c r="D61" s="427">
        <v>13</v>
      </c>
      <c r="E61" s="427">
        <v>16</v>
      </c>
      <c r="F61" s="427">
        <v>2</v>
      </c>
      <c r="G61" s="427">
        <v>3</v>
      </c>
      <c r="H61" s="428">
        <v>0</v>
      </c>
      <c r="I61" s="427">
        <v>3</v>
      </c>
      <c r="J61" s="427">
        <v>0</v>
      </c>
      <c r="K61" s="426">
        <f t="shared" si="6"/>
        <v>111</v>
      </c>
      <c r="L61" s="427">
        <v>0</v>
      </c>
      <c r="M61" s="427">
        <v>0</v>
      </c>
      <c r="N61" s="442">
        <f t="shared" si="7"/>
        <v>111</v>
      </c>
      <c r="O61" s="424" t="s">
        <v>478</v>
      </c>
      <c r="P61" s="422"/>
      <c r="Q61" s="423"/>
      <c r="R61" s="423"/>
      <c r="S61" s="423"/>
      <c r="T61" s="423"/>
      <c r="U61" s="423"/>
      <c r="V61" s="423"/>
      <c r="W61" s="423"/>
      <c r="X61" s="423"/>
      <c r="Y61" s="423"/>
      <c r="Z61" s="423"/>
      <c r="AA61" s="423"/>
      <c r="AB61" s="423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</row>
    <row r="62" spans="1:49" x14ac:dyDescent="0.15">
      <c r="A62" s="450" t="s">
        <v>477</v>
      </c>
      <c r="B62" s="427">
        <v>67</v>
      </c>
      <c r="C62" s="426">
        <v>79</v>
      </c>
      <c r="D62" s="427">
        <v>12</v>
      </c>
      <c r="E62" s="427">
        <v>12</v>
      </c>
      <c r="F62" s="427">
        <v>2</v>
      </c>
      <c r="G62" s="427">
        <v>2</v>
      </c>
      <c r="H62" s="428">
        <v>0</v>
      </c>
      <c r="I62" s="427">
        <v>6</v>
      </c>
      <c r="J62" s="427">
        <v>1</v>
      </c>
      <c r="K62" s="426">
        <f t="shared" si="6"/>
        <v>88</v>
      </c>
      <c r="L62" s="427">
        <v>1</v>
      </c>
      <c r="M62" s="427">
        <v>0</v>
      </c>
      <c r="N62" s="442">
        <f t="shared" si="7"/>
        <v>89</v>
      </c>
      <c r="O62" s="424"/>
      <c r="P62" s="422"/>
      <c r="Q62" s="423"/>
      <c r="R62" s="423"/>
      <c r="S62" s="423"/>
      <c r="T62" s="423"/>
      <c r="U62" s="423"/>
      <c r="V62" s="423"/>
      <c r="W62" s="423"/>
      <c r="X62" s="423"/>
      <c r="Y62" s="423"/>
      <c r="Z62" s="423"/>
      <c r="AA62" s="423"/>
      <c r="AB62" s="423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</row>
    <row r="63" spans="1:49" x14ac:dyDescent="0.15">
      <c r="A63" s="450" t="s">
        <v>476</v>
      </c>
      <c r="B63" s="427">
        <v>75</v>
      </c>
      <c r="C63" s="426">
        <v>86</v>
      </c>
      <c r="D63" s="427">
        <v>16</v>
      </c>
      <c r="E63" s="427">
        <v>18</v>
      </c>
      <c r="F63" s="427">
        <v>0</v>
      </c>
      <c r="G63" s="427">
        <v>0</v>
      </c>
      <c r="H63" s="428">
        <v>0</v>
      </c>
      <c r="I63" s="427">
        <v>3</v>
      </c>
      <c r="J63" s="427">
        <v>0</v>
      </c>
      <c r="K63" s="426">
        <f t="shared" si="6"/>
        <v>94</v>
      </c>
      <c r="L63" s="427">
        <v>1</v>
      </c>
      <c r="M63" s="427">
        <v>0</v>
      </c>
      <c r="N63" s="442">
        <f t="shared" si="7"/>
        <v>95</v>
      </c>
      <c r="O63" s="424"/>
      <c r="P63" s="422"/>
      <c r="Q63" s="423"/>
      <c r="R63" s="423"/>
      <c r="S63" s="423"/>
      <c r="T63" s="423"/>
      <c r="U63" s="423"/>
      <c r="V63" s="423"/>
      <c r="W63" s="423"/>
      <c r="X63" s="423"/>
      <c r="Y63" s="423"/>
      <c r="Z63" s="423"/>
      <c r="AA63" s="423"/>
      <c r="AB63" s="423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</row>
    <row r="64" spans="1:49" x14ac:dyDescent="0.15">
      <c r="A64" s="450" t="s">
        <v>475</v>
      </c>
      <c r="B64" s="426">
        <v>98</v>
      </c>
      <c r="C64" s="426">
        <v>109</v>
      </c>
      <c r="D64" s="426">
        <v>15</v>
      </c>
      <c r="E64" s="426">
        <v>20</v>
      </c>
      <c r="F64" s="426">
        <v>1</v>
      </c>
      <c r="G64" s="426">
        <v>2</v>
      </c>
      <c r="H64" s="426">
        <v>0</v>
      </c>
      <c r="I64" s="426">
        <v>4</v>
      </c>
      <c r="J64" s="426">
        <v>2</v>
      </c>
      <c r="K64" s="427">
        <f t="shared" si="6"/>
        <v>120</v>
      </c>
      <c r="L64" s="426">
        <v>0</v>
      </c>
      <c r="M64" s="426">
        <v>0</v>
      </c>
      <c r="N64" s="442">
        <f t="shared" si="7"/>
        <v>120</v>
      </c>
      <c r="O64" s="424"/>
      <c r="P64" s="422"/>
      <c r="Q64" s="423"/>
      <c r="R64" s="423"/>
      <c r="S64" s="423"/>
      <c r="T64" s="423"/>
      <c r="U64" s="423"/>
      <c r="V64" s="423"/>
      <c r="W64" s="423"/>
      <c r="X64" s="423"/>
      <c r="Y64" s="423"/>
      <c r="Z64" s="423"/>
      <c r="AA64" s="423"/>
      <c r="AB64" s="423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</row>
    <row r="65" spans="1:49" x14ac:dyDescent="0.15">
      <c r="A65" s="148" t="s">
        <v>479</v>
      </c>
      <c r="B65" s="426"/>
      <c r="C65" s="426"/>
      <c r="D65" s="426"/>
      <c r="E65" s="426"/>
      <c r="F65" s="426"/>
      <c r="G65" s="426"/>
      <c r="H65" s="426"/>
      <c r="I65" s="426"/>
      <c r="J65" s="426"/>
      <c r="K65" s="427"/>
      <c r="L65" s="426"/>
      <c r="M65" s="426"/>
      <c r="N65" s="442"/>
      <c r="O65" s="424"/>
      <c r="P65" s="423"/>
      <c r="Q65" s="423"/>
      <c r="R65" s="423"/>
      <c r="S65" s="423"/>
      <c r="T65" s="423"/>
      <c r="U65" s="423"/>
      <c r="V65" s="423"/>
      <c r="W65" s="423"/>
      <c r="X65" s="423"/>
      <c r="Y65" s="423"/>
      <c r="Z65" s="423"/>
      <c r="AA65" s="423"/>
      <c r="AB65" s="423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</row>
    <row r="66" spans="1:49" x14ac:dyDescent="0.15">
      <c r="A66" s="450" t="s">
        <v>476</v>
      </c>
      <c r="B66" s="426">
        <v>115</v>
      </c>
      <c r="C66" s="426">
        <v>139</v>
      </c>
      <c r="D66" s="426">
        <v>11</v>
      </c>
      <c r="E66" s="426">
        <v>14</v>
      </c>
      <c r="F66" s="426">
        <v>0</v>
      </c>
      <c r="G66" s="426">
        <v>0</v>
      </c>
      <c r="H66" s="426">
        <v>2</v>
      </c>
      <c r="I66" s="426">
        <v>1</v>
      </c>
      <c r="J66" s="426">
        <v>0</v>
      </c>
      <c r="K66" s="427">
        <f t="shared" si="6"/>
        <v>129</v>
      </c>
      <c r="L66" s="426">
        <v>4</v>
      </c>
      <c r="M66" s="426">
        <v>0</v>
      </c>
      <c r="N66" s="442">
        <f t="shared" si="7"/>
        <v>133</v>
      </c>
      <c r="O66" s="424"/>
      <c r="P66" s="423"/>
      <c r="Q66" s="423"/>
      <c r="R66" s="423"/>
      <c r="S66" s="423"/>
      <c r="T66" s="423"/>
      <c r="U66" s="423"/>
      <c r="V66" s="423"/>
      <c r="W66" s="423"/>
      <c r="X66" s="423"/>
      <c r="Y66" s="423"/>
      <c r="Z66" s="423"/>
      <c r="AA66" s="423"/>
      <c r="AB66" s="423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</row>
    <row r="67" spans="1:49" x14ac:dyDescent="0.15">
      <c r="A67" s="450" t="s">
        <v>475</v>
      </c>
      <c r="B67" s="426">
        <v>125</v>
      </c>
      <c r="C67" s="426">
        <v>154</v>
      </c>
      <c r="D67" s="426">
        <v>15</v>
      </c>
      <c r="E67" s="426">
        <v>18</v>
      </c>
      <c r="F67" s="426">
        <v>2</v>
      </c>
      <c r="G67" s="426">
        <v>2</v>
      </c>
      <c r="H67" s="426">
        <v>0</v>
      </c>
      <c r="I67" s="426">
        <v>3</v>
      </c>
      <c r="J67" s="426">
        <v>2</v>
      </c>
      <c r="K67" s="427">
        <f t="shared" si="6"/>
        <v>147</v>
      </c>
      <c r="L67" s="426">
        <v>2</v>
      </c>
      <c r="M67" s="426">
        <v>0</v>
      </c>
      <c r="N67" s="442">
        <f t="shared" si="7"/>
        <v>149</v>
      </c>
      <c r="O67" s="424" t="s">
        <v>427</v>
      </c>
      <c r="P67" s="423"/>
      <c r="Q67" s="423"/>
      <c r="R67" s="423"/>
      <c r="S67" s="423"/>
      <c r="T67" s="423"/>
      <c r="U67" s="423"/>
      <c r="V67" s="423"/>
      <c r="W67" s="423"/>
      <c r="X67" s="423"/>
      <c r="Y67" s="423"/>
      <c r="Z67" s="423"/>
      <c r="AA67" s="423"/>
      <c r="AB67" s="423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</row>
    <row r="68" spans="1:49" x14ac:dyDescent="0.15">
      <c r="A68" s="450" t="s">
        <v>480</v>
      </c>
      <c r="B68" s="426">
        <v>127</v>
      </c>
      <c r="C68" s="426">
        <v>154</v>
      </c>
      <c r="D68" s="426">
        <v>11</v>
      </c>
      <c r="E68" s="426">
        <v>13</v>
      </c>
      <c r="F68" s="426">
        <v>1</v>
      </c>
      <c r="G68" s="426">
        <v>1</v>
      </c>
      <c r="H68" s="426">
        <v>0</v>
      </c>
      <c r="I68" s="426">
        <v>3</v>
      </c>
      <c r="J68" s="426">
        <v>1</v>
      </c>
      <c r="K68" s="427">
        <f t="shared" si="6"/>
        <v>143</v>
      </c>
      <c r="L68" s="426">
        <v>5</v>
      </c>
      <c r="M68" s="426">
        <v>0</v>
      </c>
      <c r="N68" s="442">
        <f t="shared" si="7"/>
        <v>148</v>
      </c>
      <c r="O68" s="424" t="s">
        <v>424</v>
      </c>
      <c r="P68" s="423"/>
      <c r="Q68" s="423"/>
      <c r="R68" s="423"/>
      <c r="S68" s="423"/>
      <c r="T68" s="423"/>
      <c r="U68" s="423"/>
      <c r="V68" s="423"/>
      <c r="W68" s="423"/>
      <c r="X68" s="423"/>
      <c r="Y68" s="423"/>
      <c r="Z68" s="423"/>
      <c r="AA68" s="423"/>
      <c r="AB68" s="423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</row>
    <row r="69" spans="1:49" ht="14" thickBot="1" x14ac:dyDescent="0.2">
      <c r="A69" s="451" t="s">
        <v>481</v>
      </c>
      <c r="B69" s="447">
        <v>131</v>
      </c>
      <c r="C69" s="447">
        <v>172</v>
      </c>
      <c r="D69" s="447">
        <v>18</v>
      </c>
      <c r="E69" s="447">
        <v>19</v>
      </c>
      <c r="F69" s="447">
        <v>1</v>
      </c>
      <c r="G69" s="447">
        <v>1</v>
      </c>
      <c r="H69" s="447">
        <v>2</v>
      </c>
      <c r="I69" s="447">
        <v>2</v>
      </c>
      <c r="J69" s="447">
        <v>0</v>
      </c>
      <c r="K69" s="448">
        <f t="shared" si="6"/>
        <v>154</v>
      </c>
      <c r="L69" s="447">
        <v>2</v>
      </c>
      <c r="M69" s="448">
        <v>0</v>
      </c>
      <c r="N69" s="200">
        <f t="shared" si="7"/>
        <v>156</v>
      </c>
      <c r="O69" s="424" t="s">
        <v>425</v>
      </c>
      <c r="P69" s="423"/>
      <c r="Q69" s="423"/>
      <c r="R69" s="423"/>
      <c r="S69" s="423"/>
      <c r="T69" s="423"/>
      <c r="U69" s="423"/>
      <c r="V69" s="423"/>
      <c r="W69" s="423"/>
      <c r="X69" s="423"/>
      <c r="Y69" s="423"/>
      <c r="Z69" s="423"/>
      <c r="AA69" s="423"/>
      <c r="AB69" s="423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</row>
    <row r="70" spans="1:49" ht="14" thickBot="1" x14ac:dyDescent="0.2">
      <c r="A70" s="543" t="s">
        <v>68</v>
      </c>
      <c r="B70" s="807">
        <f t="shared" ref="B70:N70" si="8">SUM(B57:B69)</f>
        <v>1373</v>
      </c>
      <c r="C70" s="807">
        <f t="shared" si="8"/>
        <v>1609</v>
      </c>
      <c r="D70" s="807">
        <f t="shared" si="8"/>
        <v>163</v>
      </c>
      <c r="E70" s="807">
        <f t="shared" si="8"/>
        <v>188</v>
      </c>
      <c r="F70" s="807">
        <f t="shared" si="8"/>
        <v>18</v>
      </c>
      <c r="G70" s="807">
        <f t="shared" si="8"/>
        <v>20</v>
      </c>
      <c r="H70" s="807">
        <f t="shared" si="8"/>
        <v>5</v>
      </c>
      <c r="I70" s="807">
        <f t="shared" si="8"/>
        <v>38</v>
      </c>
      <c r="J70" s="807">
        <f t="shared" si="8"/>
        <v>8</v>
      </c>
      <c r="K70" s="807">
        <f t="shared" si="8"/>
        <v>1605</v>
      </c>
      <c r="L70" s="807">
        <f t="shared" si="8"/>
        <v>22</v>
      </c>
      <c r="M70" s="807">
        <f t="shared" si="8"/>
        <v>0</v>
      </c>
      <c r="N70" s="808">
        <f t="shared" si="8"/>
        <v>1627</v>
      </c>
      <c r="O70" s="424"/>
      <c r="P70" s="423"/>
      <c r="Q70" s="423"/>
      <c r="R70" s="423"/>
      <c r="S70" s="423"/>
      <c r="T70" s="423"/>
      <c r="U70" s="423"/>
      <c r="V70" s="423"/>
      <c r="W70" s="423"/>
      <c r="X70" s="423"/>
      <c r="Y70" s="423"/>
      <c r="Z70" s="423"/>
      <c r="AA70" s="423"/>
      <c r="AB70" s="423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</row>
    <row r="71" spans="1:49" ht="14" thickBot="1" x14ac:dyDescent="0.2">
      <c r="A71" s="259" t="s">
        <v>115</v>
      </c>
      <c r="B71" s="438"/>
      <c r="C71" s="547">
        <f>+C70/B70</f>
        <v>1.1718863801893664</v>
      </c>
      <c r="D71" s="553" t="s">
        <v>18</v>
      </c>
      <c r="E71" s="547">
        <f>+E70/D70</f>
        <v>1.1533742331288344</v>
      </c>
      <c r="F71" s="553"/>
      <c r="G71" s="547">
        <f>+G70/F70</f>
        <v>1.1111111111111112</v>
      </c>
      <c r="H71" s="439" t="s">
        <v>18</v>
      </c>
      <c r="I71" s="438"/>
      <c r="J71" s="439" t="s">
        <v>18</v>
      </c>
      <c r="K71" s="439"/>
      <c r="L71" s="438"/>
      <c r="M71" s="439"/>
      <c r="N71" s="440"/>
      <c r="O71" s="424"/>
      <c r="P71" s="423"/>
      <c r="Q71" s="423"/>
      <c r="R71" s="423"/>
      <c r="S71" s="423"/>
      <c r="T71" s="423"/>
      <c r="U71" s="423"/>
      <c r="V71" s="423"/>
      <c r="W71" s="423"/>
      <c r="X71" s="423"/>
      <c r="Y71" s="423"/>
      <c r="Z71" s="423"/>
      <c r="AA71" s="423"/>
      <c r="AB71" s="423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</row>
    <row r="72" spans="1:49" ht="14" thickBot="1" x14ac:dyDescent="0.2">
      <c r="A72" s="543" t="s">
        <v>670</v>
      </c>
      <c r="B72" s="279">
        <f>+B70/K70</f>
        <v>0.85545171339563864</v>
      </c>
      <c r="C72" s="438"/>
      <c r="D72" s="279">
        <f>+D70/K70</f>
        <v>0.1015576323987539</v>
      </c>
      <c r="E72" s="282"/>
      <c r="F72" s="279">
        <f>+F70/K70</f>
        <v>1.1214953271028037E-2</v>
      </c>
      <c r="G72" s="282"/>
      <c r="H72" s="279">
        <f>+H70/K70</f>
        <v>3.1152647975077881E-3</v>
      </c>
      <c r="I72" s="279">
        <f>+I70/K70</f>
        <v>2.3676012461059191E-2</v>
      </c>
      <c r="J72" s="279">
        <f>+J70/K70</f>
        <v>4.9844236760124613E-3</v>
      </c>
      <c r="K72" s="279">
        <f>SUM(B72:J72)</f>
        <v>1</v>
      </c>
      <c r="L72" s="439" t="s">
        <v>18</v>
      </c>
      <c r="M72" s="439" t="s">
        <v>18</v>
      </c>
      <c r="N72" s="440"/>
      <c r="O72" s="424"/>
      <c r="P72" s="423"/>
      <c r="Q72" s="423"/>
      <c r="R72" s="423"/>
      <c r="S72" s="423"/>
      <c r="T72" s="423"/>
      <c r="U72" s="423"/>
      <c r="V72" s="423"/>
      <c r="W72" s="423"/>
      <c r="X72" s="423"/>
      <c r="Y72" s="423"/>
      <c r="Z72" s="423"/>
      <c r="AA72" s="423"/>
      <c r="AB72" s="423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</row>
    <row r="73" spans="1:49" ht="14" thickBot="1" x14ac:dyDescent="0.2">
      <c r="A73" s="59" t="s">
        <v>114</v>
      </c>
      <c r="B73" s="554">
        <f>+B70/N70</f>
        <v>0.84388444990780576</v>
      </c>
      <c r="C73" s="554"/>
      <c r="D73" s="554">
        <f>+D70/N70</f>
        <v>0.10018438844499078</v>
      </c>
      <c r="E73" s="554" t="s">
        <v>18</v>
      </c>
      <c r="F73" s="554">
        <f>+F70/N70</f>
        <v>1.1063306699446834E-2</v>
      </c>
      <c r="G73" s="554"/>
      <c r="H73" s="554">
        <f>+H70/N70</f>
        <v>3.0731407498463428E-3</v>
      </c>
      <c r="I73" s="554">
        <f>+I70/N70</f>
        <v>2.3355869698832205E-2</v>
      </c>
      <c r="J73" s="554">
        <f>+J70/N70</f>
        <v>4.9170251997541483E-3</v>
      </c>
      <c r="K73" s="554">
        <f>SUM(B73:J73)</f>
        <v>0.98647818070067606</v>
      </c>
      <c r="L73" s="554">
        <f>+L70/N70</f>
        <v>1.3521819299323909E-2</v>
      </c>
      <c r="M73" s="554">
        <f>+M70/N70</f>
        <v>0</v>
      </c>
      <c r="N73" s="555">
        <f>+K73+L73+M73</f>
        <v>1</v>
      </c>
      <c r="O73" s="424"/>
      <c r="P73" s="423"/>
      <c r="Q73" s="423"/>
      <c r="R73" s="423"/>
      <c r="S73" s="423"/>
      <c r="T73" s="423"/>
      <c r="U73" s="423"/>
      <c r="V73" s="423"/>
      <c r="W73" s="423"/>
      <c r="X73" s="423"/>
      <c r="Y73" s="423"/>
      <c r="Z73" s="423"/>
      <c r="AA73" s="423"/>
      <c r="AB73" s="423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</row>
    <row r="74" spans="1:49" ht="14" thickBot="1" x14ac:dyDescent="0.2">
      <c r="A74" s="429" t="s">
        <v>18</v>
      </c>
      <c r="B74" s="430" t="s">
        <v>18</v>
      </c>
      <c r="C74" s="430"/>
      <c r="D74" s="430"/>
      <c r="E74" s="430" t="s">
        <v>18</v>
      </c>
      <c r="F74" s="430"/>
      <c r="G74" s="430" t="s">
        <v>18</v>
      </c>
      <c r="H74" s="430"/>
      <c r="I74" s="430"/>
      <c r="J74" s="430"/>
      <c r="K74" s="430"/>
      <c r="L74" s="430"/>
      <c r="M74" s="430"/>
      <c r="N74" s="430"/>
      <c r="O74" s="430"/>
      <c r="P74" s="430"/>
      <c r="Q74" s="430"/>
      <c r="R74" s="430"/>
      <c r="S74" s="430"/>
      <c r="T74" s="430"/>
      <c r="U74" s="430"/>
      <c r="V74" s="430"/>
      <c r="W74" s="430"/>
      <c r="X74" s="430"/>
      <c r="Y74" s="430"/>
      <c r="Z74" s="430"/>
      <c r="AA74" s="430"/>
      <c r="AB74" s="945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</row>
    <row r="75" spans="1:49" x14ac:dyDescent="0.15">
      <c r="A75" s="55" t="s">
        <v>12</v>
      </c>
      <c r="B75" s="19"/>
      <c r="C75" s="19"/>
      <c r="D75" s="18" t="s">
        <v>18</v>
      </c>
      <c r="E75" s="18" t="s">
        <v>188</v>
      </c>
      <c r="F75" s="18" t="s">
        <v>18</v>
      </c>
      <c r="G75" s="18" t="s">
        <v>18</v>
      </c>
      <c r="H75" s="19"/>
      <c r="I75" s="19" t="s">
        <v>18</v>
      </c>
      <c r="J75" s="19"/>
      <c r="K75" s="19"/>
      <c r="L75" s="19"/>
      <c r="M75" s="19"/>
      <c r="N75" s="22"/>
      <c r="AC75" s="19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</row>
    <row r="76" spans="1:49" x14ac:dyDescent="0.15">
      <c r="A76" s="74" t="s">
        <v>639</v>
      </c>
      <c r="B76" s="70" t="s">
        <v>100</v>
      </c>
      <c r="C76" s="19"/>
      <c r="D76" s="18" t="s">
        <v>169</v>
      </c>
      <c r="E76" s="18" t="s">
        <v>189</v>
      </c>
      <c r="F76" s="18" t="s">
        <v>170</v>
      </c>
      <c r="G76" s="18" t="s">
        <v>184</v>
      </c>
      <c r="H76" s="18" t="s">
        <v>194</v>
      </c>
      <c r="I76" s="19"/>
      <c r="J76" s="19"/>
      <c r="K76" s="19"/>
      <c r="L76" s="19"/>
      <c r="M76" s="19"/>
      <c r="N76" s="425" t="s">
        <v>18</v>
      </c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</row>
    <row r="77" spans="1:49" ht="14" thickBot="1" x14ac:dyDescent="0.2">
      <c r="A77" s="74" t="s">
        <v>18</v>
      </c>
      <c r="B77" s="19"/>
      <c r="C77" s="19"/>
      <c r="D77" s="230" t="s">
        <v>356</v>
      </c>
      <c r="E77" s="23">
        <v>0.33680555555555558</v>
      </c>
      <c r="F77" s="19" t="s">
        <v>190</v>
      </c>
      <c r="G77" s="19" t="s">
        <v>185</v>
      </c>
      <c r="H77" s="19" t="s">
        <v>195</v>
      </c>
      <c r="I77" s="19"/>
      <c r="J77" s="19"/>
      <c r="K77" s="19"/>
      <c r="L77" s="19"/>
      <c r="M77" s="19"/>
      <c r="N77" s="22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</row>
    <row r="78" spans="1:49" ht="14" thickBot="1" x14ac:dyDescent="0.2">
      <c r="A78" s="56"/>
      <c r="B78" s="19"/>
      <c r="C78" s="19"/>
      <c r="D78" s="19" t="s">
        <v>18</v>
      </c>
      <c r="E78" s="23">
        <v>0.66875000000000007</v>
      </c>
      <c r="F78" s="19" t="s">
        <v>191</v>
      </c>
      <c r="G78" s="19" t="s">
        <v>185</v>
      </c>
      <c r="H78" s="19"/>
      <c r="I78" s="19"/>
      <c r="J78" s="19"/>
      <c r="K78" s="19"/>
      <c r="L78" s="19"/>
      <c r="M78" s="19"/>
      <c r="N78" s="22"/>
      <c r="O78" s="17"/>
      <c r="P78" s="153"/>
      <c r="Q78" s="168" t="s">
        <v>12</v>
      </c>
      <c r="R78" s="154"/>
      <c r="S78" s="154"/>
      <c r="T78" s="227" t="s">
        <v>18</v>
      </c>
      <c r="U78" s="154"/>
      <c r="V78" s="154"/>
      <c r="W78" s="154"/>
      <c r="X78" s="154"/>
      <c r="Y78" s="154"/>
      <c r="Z78" s="154"/>
      <c r="AA78" s="154"/>
      <c r="AB78" s="203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</row>
    <row r="79" spans="1:49" ht="14" thickBot="1" x14ac:dyDescent="0.2">
      <c r="A79" s="53" t="s">
        <v>101</v>
      </c>
      <c r="B79" s="168" t="s">
        <v>103</v>
      </c>
      <c r="C79" s="155" t="s">
        <v>112</v>
      </c>
      <c r="D79" s="155" t="s">
        <v>105</v>
      </c>
      <c r="E79" s="155" t="s">
        <v>112</v>
      </c>
      <c r="F79" s="155" t="s">
        <v>105</v>
      </c>
      <c r="G79" s="155" t="s">
        <v>112</v>
      </c>
      <c r="H79" s="155" t="s">
        <v>108</v>
      </c>
      <c r="I79" s="155" t="s">
        <v>36</v>
      </c>
      <c r="J79" s="155" t="s">
        <v>109</v>
      </c>
      <c r="K79" s="155" t="s">
        <v>84</v>
      </c>
      <c r="L79" s="155" t="s">
        <v>110</v>
      </c>
      <c r="M79" s="155" t="s">
        <v>111</v>
      </c>
      <c r="N79" s="205" t="s">
        <v>167</v>
      </c>
      <c r="O79" s="17"/>
      <c r="P79" s="206"/>
      <c r="Q79" s="260" t="s">
        <v>132</v>
      </c>
      <c r="R79" s="222" t="s">
        <v>171</v>
      </c>
      <c r="S79" s="160"/>
      <c r="T79" s="160"/>
      <c r="U79" s="160"/>
      <c r="V79" s="160"/>
      <c r="W79" s="160"/>
      <c r="X79" s="160"/>
      <c r="Y79" s="160"/>
      <c r="Z79" s="160"/>
      <c r="AA79" s="160"/>
      <c r="AB79" s="162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</row>
    <row r="80" spans="1:49" ht="14" thickBot="1" x14ac:dyDescent="0.2">
      <c r="A80" s="55" t="s">
        <v>102</v>
      </c>
      <c r="B80" s="219" t="s">
        <v>104</v>
      </c>
      <c r="C80" s="159"/>
      <c r="D80" s="159" t="s">
        <v>106</v>
      </c>
      <c r="E80" s="159"/>
      <c r="F80" s="159" t="s">
        <v>107</v>
      </c>
      <c r="G80" s="159"/>
      <c r="H80" s="159"/>
      <c r="I80" s="159"/>
      <c r="J80" s="159"/>
      <c r="K80" s="159" t="s">
        <v>113</v>
      </c>
      <c r="L80" s="159"/>
      <c r="M80" s="159"/>
      <c r="N80" s="165" t="s">
        <v>168</v>
      </c>
      <c r="O80" s="17"/>
      <c r="P80" s="168" t="s">
        <v>175</v>
      </c>
      <c r="Q80" s="443">
        <v>0.85</v>
      </c>
      <c r="R80" s="443">
        <v>0.5</v>
      </c>
      <c r="S80" s="443">
        <v>0.15</v>
      </c>
      <c r="T80" s="443">
        <v>0.95</v>
      </c>
      <c r="U80" s="155" t="s">
        <v>172</v>
      </c>
      <c r="V80" s="155" t="s">
        <v>154</v>
      </c>
      <c r="W80" s="155" t="s">
        <v>178</v>
      </c>
      <c r="X80" s="155" t="s">
        <v>183</v>
      </c>
      <c r="Y80" s="155" t="s">
        <v>169</v>
      </c>
      <c r="Z80" s="155" t="s">
        <v>170</v>
      </c>
      <c r="AA80" s="155" t="s">
        <v>184</v>
      </c>
      <c r="AB80" s="205" t="s">
        <v>384</v>
      </c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</row>
    <row r="81" spans="1:49" x14ac:dyDescent="0.15">
      <c r="A81" s="53" t="s">
        <v>367</v>
      </c>
      <c r="B81" s="168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205"/>
      <c r="O81" s="17"/>
      <c r="P81" s="220" t="s">
        <v>176</v>
      </c>
      <c r="Q81" s="276">
        <v>32</v>
      </c>
      <c r="R81" s="276">
        <v>27</v>
      </c>
      <c r="S81" s="276">
        <v>24</v>
      </c>
      <c r="T81" s="276">
        <v>33</v>
      </c>
      <c r="U81" s="276" t="s">
        <v>675</v>
      </c>
      <c r="V81" s="276">
        <v>25</v>
      </c>
      <c r="W81" s="230" t="s">
        <v>366</v>
      </c>
      <c r="X81" s="23">
        <v>0.625</v>
      </c>
      <c r="Y81" s="230" t="s">
        <v>382</v>
      </c>
      <c r="Z81" s="230" t="s">
        <v>219</v>
      </c>
      <c r="AA81" s="19" t="s">
        <v>185</v>
      </c>
      <c r="AB81" s="157">
        <v>108</v>
      </c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</row>
    <row r="82" spans="1:49" x14ac:dyDescent="0.15">
      <c r="A82" s="55" t="s">
        <v>371</v>
      </c>
      <c r="B82" s="182">
        <v>74</v>
      </c>
      <c r="C82" s="19">
        <v>95</v>
      </c>
      <c r="D82" s="19">
        <v>2</v>
      </c>
      <c r="E82" s="19">
        <v>2</v>
      </c>
      <c r="F82" s="19">
        <v>1</v>
      </c>
      <c r="G82" s="19">
        <v>2</v>
      </c>
      <c r="H82" s="19">
        <v>1</v>
      </c>
      <c r="I82" s="19">
        <v>0</v>
      </c>
      <c r="J82" s="19">
        <v>0</v>
      </c>
      <c r="K82" s="19">
        <f t="shared" ref="K82:K88" si="9">+B82+D82+F82+H82+I82+J82</f>
        <v>78</v>
      </c>
      <c r="L82" s="19">
        <v>0</v>
      </c>
      <c r="M82" s="19">
        <v>0</v>
      </c>
      <c r="N82" s="157">
        <f t="shared" ref="N82:N88" si="10">+K82+L82+M82</f>
        <v>78</v>
      </c>
      <c r="O82" s="17"/>
      <c r="P82" s="220" t="s">
        <v>177</v>
      </c>
      <c r="Q82" s="276">
        <v>33</v>
      </c>
      <c r="R82" s="276">
        <v>30</v>
      </c>
      <c r="S82" s="276">
        <v>26</v>
      </c>
      <c r="T82" s="276">
        <v>36</v>
      </c>
      <c r="U82" s="276" t="s">
        <v>676</v>
      </c>
      <c r="V82" s="276">
        <v>30</v>
      </c>
      <c r="W82" s="19" t="s">
        <v>187</v>
      </c>
      <c r="X82" s="23">
        <v>0.39027777777777778</v>
      </c>
      <c r="Y82" s="230" t="s">
        <v>381</v>
      </c>
      <c r="Z82" s="230" t="s">
        <v>385</v>
      </c>
      <c r="AA82" s="19" t="s">
        <v>185</v>
      </c>
      <c r="AB82" s="157">
        <v>112</v>
      </c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</row>
    <row r="83" spans="1:49" ht="14" thickBot="1" x14ac:dyDescent="0.2">
      <c r="A83" s="148" t="s">
        <v>378</v>
      </c>
      <c r="B83" s="182">
        <v>56</v>
      </c>
      <c r="C83" s="19">
        <v>71</v>
      </c>
      <c r="D83" s="19">
        <v>10</v>
      </c>
      <c r="E83" s="19">
        <v>14</v>
      </c>
      <c r="F83" s="19">
        <v>1</v>
      </c>
      <c r="G83" s="19">
        <v>1</v>
      </c>
      <c r="H83" s="19">
        <v>0</v>
      </c>
      <c r="I83" s="19">
        <v>0</v>
      </c>
      <c r="J83" s="19">
        <v>0</v>
      </c>
      <c r="K83" s="19">
        <f t="shared" si="9"/>
        <v>67</v>
      </c>
      <c r="L83" s="19">
        <v>0</v>
      </c>
      <c r="M83" s="19">
        <v>0</v>
      </c>
      <c r="N83" s="157">
        <f t="shared" si="10"/>
        <v>67</v>
      </c>
      <c r="O83" s="17"/>
      <c r="P83" s="219" t="s">
        <v>784</v>
      </c>
      <c r="Q83" s="805" t="s">
        <v>785</v>
      </c>
      <c r="R83" s="160"/>
      <c r="S83" s="160"/>
      <c r="T83" s="160"/>
      <c r="U83" s="160"/>
      <c r="V83" s="160"/>
      <c r="W83" s="160"/>
      <c r="X83" s="160"/>
      <c r="Y83" s="160"/>
      <c r="Z83" s="160"/>
      <c r="AA83" s="160"/>
      <c r="AB83" s="162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</row>
    <row r="84" spans="1:49" x14ac:dyDescent="0.15">
      <c r="A84" s="55" t="s">
        <v>379</v>
      </c>
      <c r="B84" s="182">
        <v>80</v>
      </c>
      <c r="C84" s="19">
        <v>92</v>
      </c>
      <c r="D84" s="19">
        <v>12</v>
      </c>
      <c r="E84" s="19">
        <v>14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f t="shared" si="9"/>
        <v>92</v>
      </c>
      <c r="L84" s="19">
        <v>0</v>
      </c>
      <c r="M84" s="19">
        <v>0</v>
      </c>
      <c r="N84" s="157">
        <f t="shared" si="10"/>
        <v>92</v>
      </c>
      <c r="O84" s="17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</row>
    <row r="85" spans="1:49" x14ac:dyDescent="0.15">
      <c r="A85" s="55" t="s">
        <v>375</v>
      </c>
      <c r="B85" s="182">
        <v>109</v>
      </c>
      <c r="C85" s="19">
        <v>127</v>
      </c>
      <c r="D85" s="19">
        <v>3</v>
      </c>
      <c r="E85" s="19">
        <v>4</v>
      </c>
      <c r="F85" s="19">
        <v>1</v>
      </c>
      <c r="G85" s="19">
        <v>2</v>
      </c>
      <c r="H85" s="19">
        <v>1</v>
      </c>
      <c r="I85" s="19">
        <v>0</v>
      </c>
      <c r="J85" s="19">
        <v>0</v>
      </c>
      <c r="K85" s="19">
        <f t="shared" si="9"/>
        <v>114</v>
      </c>
      <c r="L85" s="19">
        <v>0</v>
      </c>
      <c r="M85" s="19">
        <v>0</v>
      </c>
      <c r="N85" s="157">
        <f t="shared" si="10"/>
        <v>114</v>
      </c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</row>
    <row r="86" spans="1:49" x14ac:dyDescent="0.15">
      <c r="A86" s="55" t="s">
        <v>373</v>
      </c>
      <c r="B86" s="182">
        <v>84</v>
      </c>
      <c r="C86" s="19">
        <v>94</v>
      </c>
      <c r="D86" s="19">
        <v>1</v>
      </c>
      <c r="E86" s="19">
        <v>1</v>
      </c>
      <c r="F86" s="19">
        <v>1</v>
      </c>
      <c r="G86" s="19">
        <v>5</v>
      </c>
      <c r="H86" s="19">
        <v>0</v>
      </c>
      <c r="I86" s="19">
        <v>1</v>
      </c>
      <c r="J86" s="19">
        <v>1</v>
      </c>
      <c r="K86" s="19">
        <f t="shared" si="9"/>
        <v>88</v>
      </c>
      <c r="L86" s="19">
        <v>0</v>
      </c>
      <c r="M86" s="19">
        <v>0</v>
      </c>
      <c r="N86" s="157">
        <f t="shared" si="10"/>
        <v>88</v>
      </c>
      <c r="O86" s="17"/>
      <c r="P86" s="17"/>
      <c r="Q86" s="258" t="s">
        <v>18</v>
      </c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</row>
    <row r="87" spans="1:49" x14ac:dyDescent="0.15">
      <c r="A87" s="55" t="s">
        <v>377</v>
      </c>
      <c r="B87" s="182">
        <v>96</v>
      </c>
      <c r="C87" s="19">
        <v>103</v>
      </c>
      <c r="D87" s="19">
        <v>3</v>
      </c>
      <c r="E87" s="19">
        <v>4</v>
      </c>
      <c r="F87" s="19">
        <v>0</v>
      </c>
      <c r="G87" s="19">
        <v>0</v>
      </c>
      <c r="H87" s="19">
        <v>1</v>
      </c>
      <c r="I87" s="19">
        <v>0</v>
      </c>
      <c r="J87" s="19">
        <v>0</v>
      </c>
      <c r="K87" s="19">
        <f t="shared" si="9"/>
        <v>100</v>
      </c>
      <c r="L87" s="19">
        <v>0</v>
      </c>
      <c r="M87" s="19">
        <v>0</v>
      </c>
      <c r="N87" s="157">
        <f t="shared" si="10"/>
        <v>100</v>
      </c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</row>
    <row r="88" spans="1:49" x14ac:dyDescent="0.15">
      <c r="A88" s="148" t="s">
        <v>374</v>
      </c>
      <c r="B88" s="182">
        <v>106</v>
      </c>
      <c r="C88" s="19">
        <v>120</v>
      </c>
      <c r="D88" s="19">
        <v>4</v>
      </c>
      <c r="E88" s="19">
        <v>5</v>
      </c>
      <c r="F88" s="19">
        <v>1</v>
      </c>
      <c r="G88" s="19">
        <v>2</v>
      </c>
      <c r="H88" s="19">
        <v>0</v>
      </c>
      <c r="I88" s="19">
        <v>0</v>
      </c>
      <c r="J88" s="19">
        <v>0</v>
      </c>
      <c r="K88" s="230">
        <f t="shared" si="9"/>
        <v>111</v>
      </c>
      <c r="L88" s="19">
        <v>0</v>
      </c>
      <c r="M88" s="19">
        <v>0</v>
      </c>
      <c r="N88" s="157">
        <f t="shared" si="10"/>
        <v>111</v>
      </c>
      <c r="O88" s="17"/>
      <c r="P88" s="17"/>
      <c r="Q88" s="258" t="s">
        <v>18</v>
      </c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</row>
    <row r="89" spans="1:49" x14ac:dyDescent="0.15">
      <c r="A89" s="55" t="s">
        <v>375</v>
      </c>
      <c r="B89" s="182">
        <v>168</v>
      </c>
      <c r="C89" s="19">
        <v>184</v>
      </c>
      <c r="D89" s="19">
        <v>5</v>
      </c>
      <c r="E89" s="19">
        <v>6</v>
      </c>
      <c r="F89" s="19">
        <v>5</v>
      </c>
      <c r="G89" s="19">
        <v>5</v>
      </c>
      <c r="H89" s="19">
        <v>1</v>
      </c>
      <c r="I89" s="19">
        <v>0</v>
      </c>
      <c r="J89" s="19">
        <v>0</v>
      </c>
      <c r="K89" s="230">
        <f t="shared" ref="K89:K113" si="11">+B89+D89+F89+H89+I89+J89</f>
        <v>179</v>
      </c>
      <c r="L89" s="19">
        <v>1</v>
      </c>
      <c r="M89" s="19">
        <v>0</v>
      </c>
      <c r="N89" s="157">
        <f t="shared" ref="N89:N114" si="12">+K89+L89+M89</f>
        <v>180</v>
      </c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</row>
    <row r="90" spans="1:49" x14ac:dyDescent="0.15">
      <c r="A90" s="55" t="s">
        <v>376</v>
      </c>
      <c r="B90" s="182">
        <v>100</v>
      </c>
      <c r="C90" s="19">
        <v>137</v>
      </c>
      <c r="D90" s="19">
        <v>8</v>
      </c>
      <c r="E90" s="19">
        <v>12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230">
        <f t="shared" si="11"/>
        <v>108</v>
      </c>
      <c r="L90" s="19">
        <v>1</v>
      </c>
      <c r="M90" s="19">
        <v>0</v>
      </c>
      <c r="N90" s="157">
        <f t="shared" si="12"/>
        <v>109</v>
      </c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</row>
    <row r="91" spans="1:49" x14ac:dyDescent="0.15">
      <c r="A91" s="55" t="s">
        <v>372</v>
      </c>
      <c r="B91" s="182">
        <v>94</v>
      </c>
      <c r="C91" s="19">
        <v>148</v>
      </c>
      <c r="D91" s="19">
        <v>3</v>
      </c>
      <c r="E91" s="19">
        <v>3</v>
      </c>
      <c r="F91" s="19">
        <v>0</v>
      </c>
      <c r="G91" s="19">
        <v>0</v>
      </c>
      <c r="H91" s="19">
        <v>0</v>
      </c>
      <c r="I91" s="19">
        <v>1</v>
      </c>
      <c r="J91" s="230">
        <v>0</v>
      </c>
      <c r="K91" s="19">
        <f t="shared" si="11"/>
        <v>98</v>
      </c>
      <c r="L91" s="19">
        <v>1</v>
      </c>
      <c r="M91" s="19">
        <v>0</v>
      </c>
      <c r="N91" s="157">
        <f t="shared" si="12"/>
        <v>99</v>
      </c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</row>
    <row r="92" spans="1:49" x14ac:dyDescent="0.15">
      <c r="A92" s="55" t="s">
        <v>370</v>
      </c>
      <c r="B92" s="182"/>
      <c r="C92" s="230" t="s">
        <v>18</v>
      </c>
      <c r="D92" s="19"/>
      <c r="E92" s="19"/>
      <c r="F92" s="19"/>
      <c r="G92" s="19"/>
      <c r="H92" s="19"/>
      <c r="I92" s="19"/>
      <c r="J92" s="230" t="s">
        <v>18</v>
      </c>
      <c r="K92" s="19"/>
      <c r="L92" s="19"/>
      <c r="M92" s="19"/>
      <c r="N92" s="15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</row>
    <row r="93" spans="1:49" x14ac:dyDescent="0.15">
      <c r="A93" s="55" t="s">
        <v>371</v>
      </c>
      <c r="B93" s="182">
        <v>115</v>
      </c>
      <c r="C93" s="19">
        <v>122</v>
      </c>
      <c r="D93" s="19">
        <v>21</v>
      </c>
      <c r="E93" s="19">
        <v>22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f t="shared" si="11"/>
        <v>136</v>
      </c>
      <c r="L93" s="19">
        <v>0</v>
      </c>
      <c r="M93" s="19">
        <v>0</v>
      </c>
      <c r="N93" s="157">
        <f t="shared" si="12"/>
        <v>136</v>
      </c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</row>
    <row r="94" spans="1:49" x14ac:dyDescent="0.15">
      <c r="A94" s="148" t="s">
        <v>378</v>
      </c>
      <c r="B94" s="182">
        <v>107</v>
      </c>
      <c r="C94" s="19">
        <v>113</v>
      </c>
      <c r="D94" s="19">
        <v>4</v>
      </c>
      <c r="E94" s="19">
        <v>4</v>
      </c>
      <c r="F94" s="19">
        <v>2</v>
      </c>
      <c r="G94" s="19">
        <v>2</v>
      </c>
      <c r="H94" s="19">
        <v>0</v>
      </c>
      <c r="I94" s="19">
        <v>1</v>
      </c>
      <c r="J94" s="230">
        <v>0</v>
      </c>
      <c r="K94" s="19">
        <f t="shared" si="11"/>
        <v>114</v>
      </c>
      <c r="L94" s="19">
        <v>2</v>
      </c>
      <c r="M94" s="19">
        <v>0</v>
      </c>
      <c r="N94" s="157">
        <f t="shared" si="12"/>
        <v>116</v>
      </c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</row>
    <row r="95" spans="1:49" x14ac:dyDescent="0.15">
      <c r="A95" s="55" t="s">
        <v>379</v>
      </c>
      <c r="B95" s="182">
        <v>109</v>
      </c>
      <c r="C95" s="19">
        <v>132</v>
      </c>
      <c r="D95" s="19">
        <v>5</v>
      </c>
      <c r="E95" s="19">
        <v>6</v>
      </c>
      <c r="F95" s="19">
        <v>3</v>
      </c>
      <c r="G95" s="19">
        <v>4</v>
      </c>
      <c r="H95" s="19">
        <v>0</v>
      </c>
      <c r="I95" s="19">
        <v>1</v>
      </c>
      <c r="J95" s="19">
        <v>1</v>
      </c>
      <c r="K95" s="19">
        <f t="shared" si="11"/>
        <v>119</v>
      </c>
      <c r="L95" s="19">
        <v>2</v>
      </c>
      <c r="M95" s="19">
        <v>0</v>
      </c>
      <c r="N95" s="157">
        <f t="shared" si="12"/>
        <v>121</v>
      </c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</row>
    <row r="96" spans="1:49" x14ac:dyDescent="0.15">
      <c r="A96" s="55" t="s">
        <v>376</v>
      </c>
      <c r="B96" s="182">
        <v>76</v>
      </c>
      <c r="C96" s="19">
        <v>90</v>
      </c>
      <c r="D96" s="19">
        <v>5</v>
      </c>
      <c r="E96" s="19">
        <v>7</v>
      </c>
      <c r="F96" s="19">
        <v>2</v>
      </c>
      <c r="G96" s="19">
        <v>2</v>
      </c>
      <c r="H96" s="19">
        <v>0</v>
      </c>
      <c r="I96" s="19">
        <v>1</v>
      </c>
      <c r="J96" s="19">
        <v>0</v>
      </c>
      <c r="K96" s="19">
        <f t="shared" si="11"/>
        <v>84</v>
      </c>
      <c r="L96" s="19">
        <v>0</v>
      </c>
      <c r="M96" s="19">
        <v>0</v>
      </c>
      <c r="N96" s="157">
        <f t="shared" si="12"/>
        <v>84</v>
      </c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</row>
    <row r="97" spans="1:49" x14ac:dyDescent="0.15">
      <c r="A97" s="55" t="s">
        <v>371</v>
      </c>
      <c r="B97" s="182">
        <v>82</v>
      </c>
      <c r="C97" s="19">
        <v>96</v>
      </c>
      <c r="D97" s="19">
        <v>7</v>
      </c>
      <c r="E97" s="19">
        <v>7</v>
      </c>
      <c r="F97" s="19">
        <v>1</v>
      </c>
      <c r="G97" s="19">
        <v>2</v>
      </c>
      <c r="H97" s="19">
        <v>0</v>
      </c>
      <c r="I97" s="19">
        <v>0</v>
      </c>
      <c r="J97" s="19">
        <v>0</v>
      </c>
      <c r="K97" s="19">
        <f t="shared" si="11"/>
        <v>90</v>
      </c>
      <c r="L97" s="19">
        <v>0</v>
      </c>
      <c r="M97" s="19">
        <v>0</v>
      </c>
      <c r="N97" s="157">
        <f t="shared" si="12"/>
        <v>90</v>
      </c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</row>
    <row r="98" spans="1:49" x14ac:dyDescent="0.15">
      <c r="A98" s="55" t="s">
        <v>374</v>
      </c>
      <c r="B98" s="182">
        <v>88</v>
      </c>
      <c r="C98" s="19">
        <v>97</v>
      </c>
      <c r="D98" s="19">
        <v>2</v>
      </c>
      <c r="E98" s="19">
        <v>2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f t="shared" si="11"/>
        <v>90</v>
      </c>
      <c r="L98" s="19">
        <v>0</v>
      </c>
      <c r="M98" s="230">
        <v>0</v>
      </c>
      <c r="N98" s="254">
        <f t="shared" si="12"/>
        <v>90</v>
      </c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</row>
    <row r="99" spans="1:49" x14ac:dyDescent="0.15">
      <c r="A99" s="55" t="s">
        <v>379</v>
      </c>
      <c r="B99" s="182">
        <v>121</v>
      </c>
      <c r="C99" s="19">
        <v>143</v>
      </c>
      <c r="D99" s="19">
        <v>1</v>
      </c>
      <c r="E99" s="19">
        <v>1</v>
      </c>
      <c r="F99" s="19">
        <v>0</v>
      </c>
      <c r="G99" s="19">
        <v>0</v>
      </c>
      <c r="H99" s="19">
        <v>0</v>
      </c>
      <c r="I99" s="19">
        <v>1</v>
      </c>
      <c r="J99" s="19">
        <v>0</v>
      </c>
      <c r="K99" s="19">
        <f t="shared" si="11"/>
        <v>123</v>
      </c>
      <c r="L99" s="19">
        <v>0</v>
      </c>
      <c r="M99" s="19">
        <v>0</v>
      </c>
      <c r="N99" s="157">
        <f t="shared" si="12"/>
        <v>123</v>
      </c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</row>
    <row r="100" spans="1:49" x14ac:dyDescent="0.15">
      <c r="A100" s="55" t="s">
        <v>376</v>
      </c>
      <c r="B100" s="182">
        <v>84</v>
      </c>
      <c r="C100" s="19">
        <v>93</v>
      </c>
      <c r="D100" s="19">
        <v>2</v>
      </c>
      <c r="E100" s="19">
        <v>2</v>
      </c>
      <c r="F100" s="19">
        <v>0</v>
      </c>
      <c r="G100" s="19">
        <v>0</v>
      </c>
      <c r="H100" s="19">
        <v>0</v>
      </c>
      <c r="I100" s="19">
        <v>0</v>
      </c>
      <c r="J100" s="19">
        <v>3</v>
      </c>
      <c r="K100" s="19">
        <f t="shared" si="11"/>
        <v>89</v>
      </c>
      <c r="L100" s="19">
        <v>0</v>
      </c>
      <c r="M100" s="19">
        <v>0</v>
      </c>
      <c r="N100" s="157">
        <f t="shared" si="12"/>
        <v>89</v>
      </c>
      <c r="O100" s="258" t="s">
        <v>18</v>
      </c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</row>
    <row r="101" spans="1:49" x14ac:dyDescent="0.15">
      <c r="A101" s="55" t="s">
        <v>372</v>
      </c>
      <c r="B101" s="182">
        <v>57</v>
      </c>
      <c r="C101" s="19">
        <v>67</v>
      </c>
      <c r="D101" s="19">
        <v>3</v>
      </c>
      <c r="E101" s="19">
        <v>3</v>
      </c>
      <c r="F101" s="19">
        <v>1</v>
      </c>
      <c r="G101" s="19">
        <v>2</v>
      </c>
      <c r="H101" s="19">
        <v>0</v>
      </c>
      <c r="I101" s="19">
        <v>0</v>
      </c>
      <c r="J101" s="19">
        <v>0</v>
      </c>
      <c r="K101" s="19">
        <f t="shared" si="11"/>
        <v>61</v>
      </c>
      <c r="L101" s="19">
        <v>0</v>
      </c>
      <c r="M101" s="19">
        <v>0</v>
      </c>
      <c r="N101" s="157">
        <f t="shared" si="12"/>
        <v>61</v>
      </c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</row>
    <row r="102" spans="1:49" x14ac:dyDescent="0.15">
      <c r="A102" s="55" t="s">
        <v>372</v>
      </c>
      <c r="B102" s="182">
        <v>35</v>
      </c>
      <c r="C102" s="19">
        <v>40</v>
      </c>
      <c r="D102" s="19">
        <v>2</v>
      </c>
      <c r="E102" s="19">
        <v>2</v>
      </c>
      <c r="F102" s="19">
        <v>3</v>
      </c>
      <c r="G102" s="19">
        <v>7</v>
      </c>
      <c r="H102" s="19">
        <v>0</v>
      </c>
      <c r="I102" s="19">
        <v>1</v>
      </c>
      <c r="J102" s="19">
        <v>0</v>
      </c>
      <c r="K102" s="19">
        <f t="shared" si="11"/>
        <v>41</v>
      </c>
      <c r="L102" s="19">
        <v>0</v>
      </c>
      <c r="M102" s="19">
        <v>0</v>
      </c>
      <c r="N102" s="157">
        <f t="shared" si="12"/>
        <v>41</v>
      </c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</row>
    <row r="103" spans="1:49" x14ac:dyDescent="0.15">
      <c r="A103" s="55" t="s">
        <v>369</v>
      </c>
      <c r="B103" s="182"/>
      <c r="C103" s="19"/>
      <c r="D103" s="19"/>
      <c r="E103" s="19"/>
      <c r="F103" s="19"/>
      <c r="G103" s="19"/>
      <c r="H103" s="19"/>
      <c r="I103" s="19"/>
      <c r="J103" s="19"/>
      <c r="K103" s="230" t="s">
        <v>18</v>
      </c>
      <c r="L103" s="19"/>
      <c r="M103" s="19"/>
      <c r="N103" s="254" t="s">
        <v>18</v>
      </c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</row>
    <row r="104" spans="1:49" x14ac:dyDescent="0.15">
      <c r="A104" s="55" t="s">
        <v>372</v>
      </c>
      <c r="B104" s="182">
        <v>69</v>
      </c>
      <c r="C104" s="19">
        <v>92</v>
      </c>
      <c r="D104" s="19">
        <v>12</v>
      </c>
      <c r="E104" s="19">
        <v>18</v>
      </c>
      <c r="F104" s="19">
        <v>1</v>
      </c>
      <c r="G104" s="19">
        <v>1</v>
      </c>
      <c r="H104" s="19">
        <v>0</v>
      </c>
      <c r="I104" s="19">
        <v>0</v>
      </c>
      <c r="J104" s="19">
        <v>0</v>
      </c>
      <c r="K104" s="19">
        <f t="shared" si="11"/>
        <v>82</v>
      </c>
      <c r="L104" s="19">
        <v>0</v>
      </c>
      <c r="M104" s="19">
        <v>0</v>
      </c>
      <c r="N104" s="157">
        <f t="shared" si="12"/>
        <v>82</v>
      </c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</row>
    <row r="105" spans="1:49" x14ac:dyDescent="0.15">
      <c r="A105" s="55" t="s">
        <v>375</v>
      </c>
      <c r="B105" s="182">
        <v>80</v>
      </c>
      <c r="C105" s="230">
        <v>99</v>
      </c>
      <c r="D105" s="19">
        <v>15</v>
      </c>
      <c r="E105" s="19">
        <v>15</v>
      </c>
      <c r="F105" s="19">
        <v>0</v>
      </c>
      <c r="G105" s="19">
        <v>0</v>
      </c>
      <c r="H105" s="19">
        <v>0</v>
      </c>
      <c r="I105" s="19">
        <v>1</v>
      </c>
      <c r="J105" s="19">
        <v>0</v>
      </c>
      <c r="K105" s="19">
        <f t="shared" si="11"/>
        <v>96</v>
      </c>
      <c r="L105" s="19">
        <v>0</v>
      </c>
      <c r="M105" s="19">
        <v>0</v>
      </c>
      <c r="N105" s="157">
        <f t="shared" si="12"/>
        <v>96</v>
      </c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</row>
    <row r="106" spans="1:49" x14ac:dyDescent="0.15">
      <c r="A106" s="55" t="s">
        <v>380</v>
      </c>
      <c r="B106" s="182">
        <v>56</v>
      </c>
      <c r="C106" s="19">
        <v>70</v>
      </c>
      <c r="D106" s="19">
        <v>9</v>
      </c>
      <c r="E106" s="19">
        <v>14</v>
      </c>
      <c r="F106" s="19">
        <v>0</v>
      </c>
      <c r="G106" s="19">
        <v>0</v>
      </c>
      <c r="H106" s="19">
        <v>0</v>
      </c>
      <c r="I106" s="19">
        <v>2</v>
      </c>
      <c r="J106" s="19">
        <v>0</v>
      </c>
      <c r="K106" s="19">
        <f t="shared" si="11"/>
        <v>67</v>
      </c>
      <c r="L106" s="19">
        <v>0</v>
      </c>
      <c r="M106" s="19">
        <v>0</v>
      </c>
      <c r="N106" s="157">
        <f t="shared" si="12"/>
        <v>67</v>
      </c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</row>
    <row r="107" spans="1:49" x14ac:dyDescent="0.15">
      <c r="A107" s="55" t="s">
        <v>378</v>
      </c>
      <c r="B107" s="182">
        <v>130</v>
      </c>
      <c r="C107" s="19">
        <v>141</v>
      </c>
      <c r="D107" s="19">
        <v>5</v>
      </c>
      <c r="E107" s="19">
        <v>5</v>
      </c>
      <c r="F107" s="19">
        <v>1</v>
      </c>
      <c r="G107" s="19">
        <v>3</v>
      </c>
      <c r="H107" s="19">
        <v>0</v>
      </c>
      <c r="I107" s="19">
        <v>0</v>
      </c>
      <c r="J107" s="19">
        <v>0</v>
      </c>
      <c r="K107" s="19">
        <f t="shared" si="11"/>
        <v>136</v>
      </c>
      <c r="L107" s="19">
        <v>2</v>
      </c>
      <c r="M107" s="19">
        <v>0</v>
      </c>
      <c r="N107" s="157">
        <f t="shared" si="12"/>
        <v>138</v>
      </c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</row>
    <row r="108" spans="1:49" x14ac:dyDescent="0.15">
      <c r="A108" s="55" t="s">
        <v>368</v>
      </c>
      <c r="B108" s="182">
        <v>92</v>
      </c>
      <c r="C108" s="19">
        <v>102</v>
      </c>
      <c r="D108" s="19">
        <v>11</v>
      </c>
      <c r="E108" s="19">
        <v>14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f t="shared" si="11"/>
        <v>103</v>
      </c>
      <c r="L108" s="19">
        <v>1</v>
      </c>
      <c r="M108" s="19">
        <v>0</v>
      </c>
      <c r="N108" s="157">
        <f t="shared" si="12"/>
        <v>104</v>
      </c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</row>
    <row r="109" spans="1:49" x14ac:dyDescent="0.15">
      <c r="A109" s="55" t="s">
        <v>372</v>
      </c>
      <c r="B109" s="182">
        <v>54</v>
      </c>
      <c r="C109" s="19">
        <v>62</v>
      </c>
      <c r="D109" s="19">
        <v>10</v>
      </c>
      <c r="E109" s="19">
        <v>13</v>
      </c>
      <c r="F109" s="19">
        <v>1</v>
      </c>
      <c r="G109" s="19">
        <v>3</v>
      </c>
      <c r="H109" s="19">
        <v>0</v>
      </c>
      <c r="I109" s="19">
        <v>2</v>
      </c>
      <c r="J109" s="19">
        <v>1</v>
      </c>
      <c r="K109" s="19">
        <f t="shared" si="11"/>
        <v>68</v>
      </c>
      <c r="L109" s="19">
        <v>0</v>
      </c>
      <c r="M109" s="19">
        <v>0</v>
      </c>
      <c r="N109" s="157">
        <f t="shared" si="12"/>
        <v>68</v>
      </c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</row>
    <row r="110" spans="1:49" x14ac:dyDescent="0.15">
      <c r="A110" s="55" t="s">
        <v>375</v>
      </c>
      <c r="B110" s="182">
        <v>50</v>
      </c>
      <c r="C110" s="19">
        <v>56</v>
      </c>
      <c r="D110" s="19">
        <v>9</v>
      </c>
      <c r="E110" s="19">
        <v>12</v>
      </c>
      <c r="F110" s="19">
        <v>0</v>
      </c>
      <c r="G110" s="19">
        <v>0</v>
      </c>
      <c r="H110" s="19">
        <v>1</v>
      </c>
      <c r="I110" s="19">
        <v>1</v>
      </c>
      <c r="J110" s="19">
        <v>0</v>
      </c>
      <c r="K110" s="19">
        <f t="shared" si="11"/>
        <v>61</v>
      </c>
      <c r="L110" s="19">
        <v>0</v>
      </c>
      <c r="M110" s="19">
        <v>0</v>
      </c>
      <c r="N110" s="157">
        <f t="shared" si="12"/>
        <v>61</v>
      </c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</row>
    <row r="111" spans="1:49" x14ac:dyDescent="0.15">
      <c r="A111" s="55" t="s">
        <v>380</v>
      </c>
      <c r="B111" s="182">
        <v>44</v>
      </c>
      <c r="C111" s="19">
        <v>55</v>
      </c>
      <c r="D111" s="19">
        <v>8</v>
      </c>
      <c r="E111" s="19">
        <v>12</v>
      </c>
      <c r="F111" s="19">
        <v>1</v>
      </c>
      <c r="G111" s="19">
        <v>2</v>
      </c>
      <c r="H111" s="19">
        <v>0</v>
      </c>
      <c r="I111" s="19">
        <v>0</v>
      </c>
      <c r="J111" s="19">
        <v>0</v>
      </c>
      <c r="K111" s="19">
        <f t="shared" si="11"/>
        <v>53</v>
      </c>
      <c r="L111" s="19">
        <v>0</v>
      </c>
      <c r="M111" s="19">
        <v>0</v>
      </c>
      <c r="N111" s="157">
        <f t="shared" si="12"/>
        <v>53</v>
      </c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</row>
    <row r="112" spans="1:49" x14ac:dyDescent="0.15">
      <c r="A112" s="55" t="s">
        <v>378</v>
      </c>
      <c r="B112" s="182">
        <v>94</v>
      </c>
      <c r="C112" s="19">
        <v>108</v>
      </c>
      <c r="D112" s="19">
        <v>10</v>
      </c>
      <c r="E112" s="19">
        <v>13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f t="shared" si="11"/>
        <v>104</v>
      </c>
      <c r="L112" s="19">
        <v>0</v>
      </c>
      <c r="M112" s="19">
        <v>0</v>
      </c>
      <c r="N112" s="157">
        <f t="shared" si="12"/>
        <v>104</v>
      </c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</row>
    <row r="113" spans="1:49" ht="14" thickBot="1" x14ac:dyDescent="0.2">
      <c r="A113" s="54" t="s">
        <v>371</v>
      </c>
      <c r="B113" s="206">
        <v>73</v>
      </c>
      <c r="C113" s="160">
        <v>88</v>
      </c>
      <c r="D113" s="160">
        <v>11</v>
      </c>
      <c r="E113" s="160">
        <v>13</v>
      </c>
      <c r="F113" s="160">
        <v>1</v>
      </c>
      <c r="G113" s="160">
        <v>1</v>
      </c>
      <c r="H113" s="160">
        <v>0</v>
      </c>
      <c r="I113" s="160">
        <v>0</v>
      </c>
      <c r="J113" s="160">
        <v>0</v>
      </c>
      <c r="K113" s="160">
        <f t="shared" si="11"/>
        <v>85</v>
      </c>
      <c r="L113" s="160">
        <v>0</v>
      </c>
      <c r="M113" s="160">
        <v>0</v>
      </c>
      <c r="N113" s="162">
        <f t="shared" si="12"/>
        <v>85</v>
      </c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</row>
    <row r="114" spans="1:49" ht="14" thickBot="1" x14ac:dyDescent="0.2">
      <c r="A114" s="59" t="s">
        <v>68</v>
      </c>
      <c r="B114" s="225">
        <f t="shared" ref="B114:M114" si="13">SUM(B82:B113)</f>
        <v>2583</v>
      </c>
      <c r="C114" s="225">
        <f t="shared" si="13"/>
        <v>3037</v>
      </c>
      <c r="D114" s="225">
        <f t="shared" si="13"/>
        <v>203</v>
      </c>
      <c r="E114" s="225">
        <f t="shared" si="13"/>
        <v>250</v>
      </c>
      <c r="F114" s="225">
        <f t="shared" si="13"/>
        <v>27</v>
      </c>
      <c r="G114" s="225">
        <f t="shared" si="13"/>
        <v>46</v>
      </c>
      <c r="H114" s="225">
        <f t="shared" si="13"/>
        <v>5</v>
      </c>
      <c r="I114" s="225">
        <f t="shared" si="13"/>
        <v>13</v>
      </c>
      <c r="J114" s="225">
        <f t="shared" si="13"/>
        <v>6</v>
      </c>
      <c r="K114" s="225">
        <f t="shared" si="13"/>
        <v>2837</v>
      </c>
      <c r="L114" s="225">
        <f t="shared" si="13"/>
        <v>10</v>
      </c>
      <c r="M114" s="225">
        <f t="shared" si="13"/>
        <v>0</v>
      </c>
      <c r="N114" s="226">
        <f t="shared" si="12"/>
        <v>2847</v>
      </c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</row>
    <row r="115" spans="1:49" ht="14" thickBot="1" x14ac:dyDescent="0.2">
      <c r="A115" s="259" t="s">
        <v>115</v>
      </c>
      <c r="B115" s="282" t="s">
        <v>18</v>
      </c>
      <c r="C115" s="547">
        <f>+C114/B114</f>
        <v>1.1757646147890051</v>
      </c>
      <c r="D115" s="548"/>
      <c r="E115" s="547">
        <f>+E114/D114</f>
        <v>1.2315270935960592</v>
      </c>
      <c r="F115" s="548"/>
      <c r="G115" s="547">
        <f>+G114/F114</f>
        <v>1.7037037037037037</v>
      </c>
      <c r="H115" s="282"/>
      <c r="I115" s="282"/>
      <c r="J115" s="282"/>
      <c r="K115" s="282"/>
      <c r="L115" s="282"/>
      <c r="M115" s="282"/>
      <c r="N115" s="283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</row>
    <row r="116" spans="1:49" ht="14" thickBot="1" x14ac:dyDescent="0.2">
      <c r="A116" s="543" t="s">
        <v>670</v>
      </c>
      <c r="B116" s="279">
        <f>+B114/K114</f>
        <v>0.91046880507578432</v>
      </c>
      <c r="C116" s="282"/>
      <c r="D116" s="279">
        <f>+D114/K114</f>
        <v>7.1554458935495238E-2</v>
      </c>
      <c r="E116" s="282"/>
      <c r="F116" s="279">
        <f>+F114/K114</f>
        <v>9.5170955234402544E-3</v>
      </c>
      <c r="G116" s="282"/>
      <c r="H116" s="279">
        <f>+H114/K114</f>
        <v>1.7624250969333803E-3</v>
      </c>
      <c r="I116" s="279">
        <f>+I114/K114</f>
        <v>4.5823052520267893E-3</v>
      </c>
      <c r="J116" s="279">
        <f>+J114/K114</f>
        <v>2.1149101163200562E-3</v>
      </c>
      <c r="K116" s="279">
        <f>SUM(B116:J116)</f>
        <v>1</v>
      </c>
      <c r="L116" s="282"/>
      <c r="M116" s="282"/>
      <c r="N116" s="283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</row>
    <row r="117" spans="1:49" ht="14" thickBot="1" x14ac:dyDescent="0.2">
      <c r="A117" s="543" t="s">
        <v>114</v>
      </c>
      <c r="B117" s="551">
        <f>+B114/N114</f>
        <v>0.90727081138040044</v>
      </c>
      <c r="C117" s="551"/>
      <c r="D117" s="551">
        <f>+D114/N114</f>
        <v>7.1303126097646649E-2</v>
      </c>
      <c r="E117" s="551" t="s">
        <v>18</v>
      </c>
      <c r="F117" s="551">
        <f>+F114/N114</f>
        <v>9.4836670179135937E-3</v>
      </c>
      <c r="G117" s="551"/>
      <c r="H117" s="551">
        <f>+H114/N114</f>
        <v>1.7562346329469617E-3</v>
      </c>
      <c r="I117" s="551">
        <f>+I114/N114</f>
        <v>4.5662100456621002E-3</v>
      </c>
      <c r="J117" s="551">
        <f>+J114/N114</f>
        <v>2.1074815595363539E-3</v>
      </c>
      <c r="K117" s="551">
        <f>SUM(B117:J117)</f>
        <v>0.99648753073410612</v>
      </c>
      <c r="L117" s="551">
        <f>+L114/N114</f>
        <v>3.5124692658939235E-3</v>
      </c>
      <c r="M117" s="551">
        <f>+M114/N114</f>
        <v>0</v>
      </c>
      <c r="N117" s="552">
        <f>+K117+L117+M117</f>
        <v>1</v>
      </c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</row>
    <row r="118" spans="1:49" ht="14" thickBot="1" x14ac:dyDescent="0.2">
      <c r="A118" s="429" t="s">
        <v>18</v>
      </c>
      <c r="B118" s="430" t="s">
        <v>18</v>
      </c>
      <c r="C118" s="430"/>
      <c r="D118" s="430"/>
      <c r="E118" s="430" t="s">
        <v>18</v>
      </c>
      <c r="F118" s="430"/>
      <c r="G118" s="430" t="s">
        <v>18</v>
      </c>
      <c r="H118" s="430"/>
      <c r="I118" s="430"/>
      <c r="J118" s="430"/>
      <c r="K118" s="430"/>
      <c r="L118" s="430"/>
      <c r="M118" s="430"/>
      <c r="N118" s="430"/>
      <c r="O118" s="430"/>
      <c r="P118" s="430"/>
      <c r="Q118" s="430"/>
      <c r="R118" s="430"/>
      <c r="S118" s="430"/>
      <c r="T118" s="430"/>
      <c r="U118" s="430"/>
      <c r="V118" s="430"/>
      <c r="W118" s="430"/>
      <c r="X118" s="430"/>
      <c r="Y118" s="430"/>
      <c r="Z118" s="430"/>
      <c r="AA118" s="430"/>
      <c r="AB118" s="945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</row>
    <row r="119" spans="1:49" x14ac:dyDescent="0.15">
      <c r="A119" s="53" t="s">
        <v>12</v>
      </c>
      <c r="B119" s="154"/>
      <c r="C119" s="154"/>
      <c r="D119" s="155" t="s">
        <v>18</v>
      </c>
      <c r="E119" s="155" t="s">
        <v>188</v>
      </c>
      <c r="F119" s="155" t="s">
        <v>18</v>
      </c>
      <c r="G119" s="155" t="s">
        <v>18</v>
      </c>
      <c r="H119" s="154"/>
      <c r="I119" s="154" t="s">
        <v>18</v>
      </c>
      <c r="J119" s="154"/>
      <c r="K119" s="154"/>
      <c r="L119" s="154"/>
      <c r="M119" s="154"/>
      <c r="N119" s="203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</row>
    <row r="120" spans="1:49" ht="14" thickBot="1" x14ac:dyDescent="0.2">
      <c r="A120" s="74" t="s">
        <v>640</v>
      </c>
      <c r="B120" s="70" t="s">
        <v>100</v>
      </c>
      <c r="C120" s="19"/>
      <c r="D120" s="18" t="s">
        <v>169</v>
      </c>
      <c r="E120" s="18" t="s">
        <v>189</v>
      </c>
      <c r="F120" s="18" t="s">
        <v>170</v>
      </c>
      <c r="G120" s="18" t="s">
        <v>184</v>
      </c>
      <c r="H120" s="18" t="s">
        <v>194</v>
      </c>
      <c r="I120" s="19"/>
      <c r="J120" s="19"/>
      <c r="K120" s="19"/>
      <c r="L120" s="19"/>
      <c r="M120" s="19"/>
      <c r="N120" s="254" t="s">
        <v>18</v>
      </c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</row>
    <row r="121" spans="1:49" x14ac:dyDescent="0.15">
      <c r="A121" s="74" t="s">
        <v>18</v>
      </c>
      <c r="B121" s="19"/>
      <c r="C121" s="19"/>
      <c r="D121" s="230" t="s">
        <v>503</v>
      </c>
      <c r="E121" s="235">
        <v>0.32291666666666669</v>
      </c>
      <c r="F121" s="427" t="s">
        <v>504</v>
      </c>
      <c r="G121" s="427" t="s">
        <v>185</v>
      </c>
      <c r="H121" s="427" t="s">
        <v>665</v>
      </c>
      <c r="I121" s="19"/>
      <c r="J121" s="19"/>
      <c r="K121" s="19"/>
      <c r="L121" s="19"/>
      <c r="M121" s="19"/>
      <c r="N121" s="157"/>
      <c r="O121" s="17"/>
      <c r="P121" s="153"/>
      <c r="Q121" s="168" t="s">
        <v>12</v>
      </c>
      <c r="R121" s="154"/>
      <c r="S121" s="154"/>
      <c r="T121" s="227" t="s">
        <v>18</v>
      </c>
      <c r="U121" s="154"/>
      <c r="V121" s="154"/>
      <c r="W121" s="154"/>
      <c r="X121" s="154"/>
      <c r="Y121" s="154"/>
      <c r="Z121" s="154"/>
      <c r="AA121" s="154"/>
      <c r="AB121" s="203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</row>
    <row r="122" spans="1:49" ht="14" thickBot="1" x14ac:dyDescent="0.2">
      <c r="A122" s="56"/>
      <c r="B122" s="19"/>
      <c r="C122" s="19"/>
      <c r="D122" s="230" t="s">
        <v>382</v>
      </c>
      <c r="E122" s="235">
        <v>0.67152777777777783</v>
      </c>
      <c r="F122" s="427" t="s">
        <v>504</v>
      </c>
      <c r="G122" s="427" t="s">
        <v>185</v>
      </c>
      <c r="H122" s="426" t="s">
        <v>666</v>
      </c>
      <c r="I122" s="19"/>
      <c r="J122" s="19"/>
      <c r="K122" s="19"/>
      <c r="L122" s="19"/>
      <c r="M122" s="19"/>
      <c r="N122" s="157"/>
      <c r="O122" s="17"/>
      <c r="P122" s="206"/>
      <c r="Q122" s="260" t="s">
        <v>131</v>
      </c>
      <c r="R122" s="222" t="s">
        <v>171</v>
      </c>
      <c r="S122" s="160"/>
      <c r="T122" s="160"/>
      <c r="U122" s="160"/>
      <c r="V122" s="160"/>
      <c r="W122" s="160"/>
      <c r="X122" s="160"/>
      <c r="Y122" s="160"/>
      <c r="Z122" s="160"/>
      <c r="AA122" s="160"/>
      <c r="AB122" s="162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</row>
    <row r="123" spans="1:49" x14ac:dyDescent="0.15">
      <c r="A123" s="53" t="s">
        <v>101</v>
      </c>
      <c r="B123" s="155" t="s">
        <v>103</v>
      </c>
      <c r="C123" s="155" t="s">
        <v>112</v>
      </c>
      <c r="D123" s="155" t="s">
        <v>105</v>
      </c>
      <c r="E123" s="155" t="s">
        <v>112</v>
      </c>
      <c r="F123" s="155" t="s">
        <v>105</v>
      </c>
      <c r="G123" s="155" t="s">
        <v>112</v>
      </c>
      <c r="H123" s="155" t="s">
        <v>108</v>
      </c>
      <c r="I123" s="155" t="s">
        <v>36</v>
      </c>
      <c r="J123" s="155" t="s">
        <v>109</v>
      </c>
      <c r="K123" s="155" t="s">
        <v>84</v>
      </c>
      <c r="L123" s="155" t="s">
        <v>110</v>
      </c>
      <c r="M123" s="155" t="s">
        <v>111</v>
      </c>
      <c r="N123" s="205" t="s">
        <v>167</v>
      </c>
      <c r="O123" s="17"/>
      <c r="P123" s="800" t="s">
        <v>175</v>
      </c>
      <c r="Q123" s="443">
        <v>0.85</v>
      </c>
      <c r="R123" s="443">
        <v>0.5</v>
      </c>
      <c r="S123" s="443">
        <v>0.15</v>
      </c>
      <c r="T123" s="443">
        <v>0.95</v>
      </c>
      <c r="U123" s="155" t="s">
        <v>172</v>
      </c>
      <c r="V123" s="155" t="s">
        <v>154</v>
      </c>
      <c r="W123" s="155" t="s">
        <v>178</v>
      </c>
      <c r="X123" s="155" t="s">
        <v>183</v>
      </c>
      <c r="Y123" s="155" t="s">
        <v>169</v>
      </c>
      <c r="Z123" s="155" t="s">
        <v>170</v>
      </c>
      <c r="AA123" s="155" t="s">
        <v>184</v>
      </c>
      <c r="AB123" s="205" t="s">
        <v>384</v>
      </c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</row>
    <row r="124" spans="1:49" ht="14" thickBot="1" x14ac:dyDescent="0.2">
      <c r="A124" s="54" t="s">
        <v>102</v>
      </c>
      <c r="B124" s="159" t="s">
        <v>104</v>
      </c>
      <c r="C124" s="159"/>
      <c r="D124" s="159" t="s">
        <v>106</v>
      </c>
      <c r="E124" s="159"/>
      <c r="F124" s="159" t="s">
        <v>107</v>
      </c>
      <c r="G124" s="159"/>
      <c r="H124" s="159"/>
      <c r="I124" s="159"/>
      <c r="J124" s="159"/>
      <c r="K124" s="159" t="s">
        <v>113</v>
      </c>
      <c r="L124" s="159"/>
      <c r="M124" s="159"/>
      <c r="N124" s="165" t="s">
        <v>168</v>
      </c>
      <c r="O124" s="17"/>
      <c r="P124" s="801" t="s">
        <v>176</v>
      </c>
      <c r="Q124" s="276">
        <v>26</v>
      </c>
      <c r="R124" s="276">
        <v>21</v>
      </c>
      <c r="S124" s="276">
        <v>18</v>
      </c>
      <c r="T124" s="276">
        <v>27</v>
      </c>
      <c r="U124" s="799" t="s">
        <v>673</v>
      </c>
      <c r="V124" s="276">
        <v>25</v>
      </c>
      <c r="W124" s="230" t="s">
        <v>502</v>
      </c>
      <c r="X124" s="23">
        <v>0.35069444444444442</v>
      </c>
      <c r="Y124" s="230" t="s">
        <v>382</v>
      </c>
      <c r="Z124" s="230" t="s">
        <v>504</v>
      </c>
      <c r="AA124" s="230" t="s">
        <v>185</v>
      </c>
      <c r="AB124" s="157">
        <v>115</v>
      </c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</row>
    <row r="125" spans="1:49" x14ac:dyDescent="0.15">
      <c r="A125" s="55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99"/>
      <c r="O125" s="17"/>
      <c r="P125" s="801" t="s">
        <v>177</v>
      </c>
      <c r="Q125" s="276">
        <v>28</v>
      </c>
      <c r="R125" s="276">
        <v>25</v>
      </c>
      <c r="S125" s="276">
        <v>22</v>
      </c>
      <c r="T125" s="276">
        <v>31</v>
      </c>
      <c r="U125" s="276" t="s">
        <v>672</v>
      </c>
      <c r="V125" s="276">
        <v>25</v>
      </c>
      <c r="W125" s="230" t="s">
        <v>501</v>
      </c>
      <c r="X125" s="23">
        <v>0.31597222222222221</v>
      </c>
      <c r="Y125" s="230" t="s">
        <v>503</v>
      </c>
      <c r="Z125" s="230" t="s">
        <v>504</v>
      </c>
      <c r="AA125" s="230" t="s">
        <v>185</v>
      </c>
      <c r="AB125" s="157">
        <v>105</v>
      </c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</row>
    <row r="126" spans="1:49" ht="14" thickBot="1" x14ac:dyDescent="0.2">
      <c r="A126" s="55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99"/>
      <c r="O126" s="17"/>
      <c r="P126" s="802" t="s">
        <v>784</v>
      </c>
      <c r="Q126" s="805" t="s">
        <v>787</v>
      </c>
      <c r="R126" s="275"/>
      <c r="S126" s="275"/>
      <c r="T126" s="275"/>
      <c r="U126" s="275"/>
      <c r="V126" s="275"/>
      <c r="W126" s="228"/>
      <c r="X126" s="161"/>
      <c r="Y126" s="228"/>
      <c r="Z126" s="228"/>
      <c r="AA126" s="228"/>
      <c r="AB126" s="162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</row>
    <row r="127" spans="1:49" x14ac:dyDescent="0.15">
      <c r="A127" s="380" t="s">
        <v>489</v>
      </c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57"/>
      <c r="O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</row>
    <row r="128" spans="1:49" x14ac:dyDescent="0.15">
      <c r="A128" s="381" t="s">
        <v>490</v>
      </c>
      <c r="B128" s="19">
        <v>91</v>
      </c>
      <c r="C128" s="230">
        <v>102</v>
      </c>
      <c r="D128" s="19">
        <v>2</v>
      </c>
      <c r="E128" s="19">
        <v>3</v>
      </c>
      <c r="F128" s="19">
        <v>0</v>
      </c>
      <c r="G128" s="19">
        <v>0</v>
      </c>
      <c r="H128" s="19">
        <v>0</v>
      </c>
      <c r="I128" s="230">
        <v>3</v>
      </c>
      <c r="J128" s="19">
        <v>0</v>
      </c>
      <c r="K128" s="19">
        <f t="shared" ref="K128:K142" si="14">+B128+D128+F128+H128+I128+J128</f>
        <v>96</v>
      </c>
      <c r="L128" s="19">
        <v>0</v>
      </c>
      <c r="M128" s="19">
        <v>0</v>
      </c>
      <c r="N128" s="157">
        <f t="shared" ref="N128:N142" si="15">+K128+L128+M128</f>
        <v>96</v>
      </c>
      <c r="O128" s="17"/>
      <c r="P128" s="258" t="s">
        <v>18</v>
      </c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</row>
    <row r="129" spans="1:49" x14ac:dyDescent="0.15">
      <c r="A129" s="381" t="s">
        <v>491</v>
      </c>
      <c r="B129" s="19">
        <v>60</v>
      </c>
      <c r="C129" s="19">
        <v>67</v>
      </c>
      <c r="D129" s="19">
        <v>8</v>
      </c>
      <c r="E129" s="19">
        <v>8</v>
      </c>
      <c r="F129" s="19">
        <v>0</v>
      </c>
      <c r="G129" s="19">
        <v>0</v>
      </c>
      <c r="H129" s="19">
        <v>0</v>
      </c>
      <c r="I129" s="19">
        <v>4</v>
      </c>
      <c r="J129" s="19">
        <v>1</v>
      </c>
      <c r="K129" s="19">
        <f t="shared" si="14"/>
        <v>73</v>
      </c>
      <c r="L129" s="19">
        <v>0</v>
      </c>
      <c r="M129" s="19">
        <v>0</v>
      </c>
      <c r="N129" s="157">
        <f t="shared" si="15"/>
        <v>73</v>
      </c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</row>
    <row r="130" spans="1:49" x14ac:dyDescent="0.15">
      <c r="A130" s="452" t="s">
        <v>492</v>
      </c>
      <c r="B130" s="19">
        <v>98</v>
      </c>
      <c r="C130" s="19">
        <v>113</v>
      </c>
      <c r="D130" s="19">
        <v>4</v>
      </c>
      <c r="E130" s="19">
        <v>5</v>
      </c>
      <c r="F130" s="19">
        <v>0</v>
      </c>
      <c r="G130" s="19">
        <v>0</v>
      </c>
      <c r="H130" s="19">
        <v>0</v>
      </c>
      <c r="I130" s="19">
        <v>1</v>
      </c>
      <c r="J130" s="19">
        <v>0</v>
      </c>
      <c r="K130" s="19">
        <f t="shared" si="14"/>
        <v>103</v>
      </c>
      <c r="L130" s="19">
        <v>2</v>
      </c>
      <c r="M130" s="19">
        <v>0</v>
      </c>
      <c r="N130" s="157">
        <f t="shared" si="15"/>
        <v>105</v>
      </c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</row>
    <row r="131" spans="1:49" x14ac:dyDescent="0.15">
      <c r="A131" s="452" t="s">
        <v>493</v>
      </c>
      <c r="B131" s="19">
        <v>105</v>
      </c>
      <c r="C131" s="19">
        <v>116</v>
      </c>
      <c r="D131" s="19">
        <v>8</v>
      </c>
      <c r="E131" s="19">
        <v>8</v>
      </c>
      <c r="F131" s="19">
        <v>0</v>
      </c>
      <c r="G131" s="19">
        <v>0</v>
      </c>
      <c r="H131" s="19">
        <v>0</v>
      </c>
      <c r="I131" s="19">
        <v>2</v>
      </c>
      <c r="J131" s="19">
        <v>0</v>
      </c>
      <c r="K131" s="19">
        <f t="shared" si="14"/>
        <v>115</v>
      </c>
      <c r="L131" s="19">
        <v>2</v>
      </c>
      <c r="M131" s="19">
        <v>0</v>
      </c>
      <c r="N131" s="157">
        <f t="shared" si="15"/>
        <v>117</v>
      </c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</row>
    <row r="132" spans="1:49" x14ac:dyDescent="0.15">
      <c r="A132" s="452" t="s">
        <v>494</v>
      </c>
      <c r="B132" s="19">
        <v>87</v>
      </c>
      <c r="C132" s="19">
        <v>96</v>
      </c>
      <c r="D132" s="19">
        <v>8</v>
      </c>
      <c r="E132" s="19">
        <v>8</v>
      </c>
      <c r="F132" s="19">
        <v>2</v>
      </c>
      <c r="G132" s="19">
        <v>2</v>
      </c>
      <c r="H132" s="230">
        <v>1</v>
      </c>
      <c r="I132" s="19">
        <v>3</v>
      </c>
      <c r="J132" s="19">
        <v>0</v>
      </c>
      <c r="K132" s="19">
        <f t="shared" si="14"/>
        <v>101</v>
      </c>
      <c r="L132" s="19">
        <v>5</v>
      </c>
      <c r="M132" s="19">
        <v>0</v>
      </c>
      <c r="N132" s="157">
        <f t="shared" si="15"/>
        <v>106</v>
      </c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</row>
    <row r="133" spans="1:49" x14ac:dyDescent="0.15">
      <c r="A133" s="452" t="s">
        <v>490</v>
      </c>
      <c r="B133" s="19">
        <v>112</v>
      </c>
      <c r="C133" s="19">
        <v>124</v>
      </c>
      <c r="D133" s="19">
        <v>8</v>
      </c>
      <c r="E133" s="19">
        <v>10</v>
      </c>
      <c r="F133" s="19">
        <v>0</v>
      </c>
      <c r="G133" s="19">
        <v>0</v>
      </c>
      <c r="H133" s="19">
        <v>2</v>
      </c>
      <c r="I133" s="19">
        <v>1</v>
      </c>
      <c r="J133" s="19">
        <v>0</v>
      </c>
      <c r="K133" s="19">
        <f t="shared" si="14"/>
        <v>123</v>
      </c>
      <c r="L133" s="230">
        <v>1</v>
      </c>
      <c r="M133" s="19">
        <v>2</v>
      </c>
      <c r="N133" s="157">
        <f t="shared" si="15"/>
        <v>126</v>
      </c>
      <c r="O133" s="258" t="s">
        <v>495</v>
      </c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</row>
    <row r="134" spans="1:49" x14ac:dyDescent="0.15">
      <c r="A134" s="452" t="s">
        <v>491</v>
      </c>
      <c r="B134" s="19">
        <v>81</v>
      </c>
      <c r="C134" s="19">
        <v>99</v>
      </c>
      <c r="D134" s="19">
        <v>6</v>
      </c>
      <c r="E134" s="19">
        <v>6</v>
      </c>
      <c r="F134" s="19">
        <v>0</v>
      </c>
      <c r="G134" s="19">
        <v>0</v>
      </c>
      <c r="H134" s="19">
        <v>2</v>
      </c>
      <c r="I134" s="19">
        <v>2</v>
      </c>
      <c r="J134" s="19">
        <v>0</v>
      </c>
      <c r="K134" s="19">
        <f t="shared" si="14"/>
        <v>91</v>
      </c>
      <c r="L134" s="19">
        <v>4</v>
      </c>
      <c r="M134" s="19">
        <v>1</v>
      </c>
      <c r="N134" s="157">
        <f t="shared" si="15"/>
        <v>96</v>
      </c>
      <c r="O134" s="444" t="s">
        <v>496</v>
      </c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</row>
    <row r="135" spans="1:49" x14ac:dyDescent="0.15">
      <c r="A135" s="452" t="s">
        <v>492</v>
      </c>
      <c r="B135" s="19">
        <v>102</v>
      </c>
      <c r="C135" s="19">
        <v>122</v>
      </c>
      <c r="D135" s="19">
        <v>7</v>
      </c>
      <c r="E135" s="19">
        <v>8</v>
      </c>
      <c r="F135" s="19">
        <v>0</v>
      </c>
      <c r="G135" s="19">
        <v>0</v>
      </c>
      <c r="H135" s="19">
        <v>0</v>
      </c>
      <c r="I135" s="230">
        <v>1</v>
      </c>
      <c r="J135" s="230">
        <v>0</v>
      </c>
      <c r="K135" s="230">
        <f t="shared" si="14"/>
        <v>110</v>
      </c>
      <c r="L135" s="19">
        <v>3</v>
      </c>
      <c r="M135" s="19">
        <v>0</v>
      </c>
      <c r="N135" s="157">
        <f t="shared" si="15"/>
        <v>113</v>
      </c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</row>
    <row r="136" spans="1:49" x14ac:dyDescent="0.15">
      <c r="A136" s="452" t="s">
        <v>493</v>
      </c>
      <c r="B136" s="19">
        <v>94</v>
      </c>
      <c r="C136" s="19">
        <v>116</v>
      </c>
      <c r="D136" s="19">
        <v>8</v>
      </c>
      <c r="E136" s="19">
        <v>8</v>
      </c>
      <c r="F136" s="19">
        <v>0</v>
      </c>
      <c r="G136" s="19">
        <v>0</v>
      </c>
      <c r="H136" s="19">
        <v>2</v>
      </c>
      <c r="I136" s="19">
        <v>0</v>
      </c>
      <c r="J136" s="19">
        <v>1</v>
      </c>
      <c r="K136" s="230">
        <f t="shared" si="14"/>
        <v>105</v>
      </c>
      <c r="L136" s="19">
        <v>4</v>
      </c>
      <c r="M136" s="19">
        <v>1</v>
      </c>
      <c r="N136" s="157">
        <f t="shared" si="15"/>
        <v>110</v>
      </c>
      <c r="O136" s="444" t="s">
        <v>497</v>
      </c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</row>
    <row r="137" spans="1:49" x14ac:dyDescent="0.15">
      <c r="A137" s="452" t="s">
        <v>494</v>
      </c>
      <c r="B137" s="19">
        <v>111</v>
      </c>
      <c r="C137" s="19">
        <v>134</v>
      </c>
      <c r="D137" s="19">
        <v>9</v>
      </c>
      <c r="E137" s="19">
        <v>9</v>
      </c>
      <c r="F137" s="19">
        <v>2</v>
      </c>
      <c r="G137" s="19">
        <v>2</v>
      </c>
      <c r="H137" s="19">
        <v>2</v>
      </c>
      <c r="I137" s="19">
        <v>2</v>
      </c>
      <c r="J137" s="230">
        <v>1</v>
      </c>
      <c r="K137" s="19">
        <f t="shared" si="14"/>
        <v>127</v>
      </c>
      <c r="L137" s="19">
        <v>3</v>
      </c>
      <c r="M137" s="19">
        <v>0</v>
      </c>
      <c r="N137" s="157">
        <f t="shared" si="15"/>
        <v>130</v>
      </c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</row>
    <row r="138" spans="1:49" x14ac:dyDescent="0.15">
      <c r="A138" s="452" t="s">
        <v>491</v>
      </c>
      <c r="B138" s="19">
        <v>141</v>
      </c>
      <c r="C138" s="19">
        <v>172</v>
      </c>
      <c r="D138" s="19">
        <v>7</v>
      </c>
      <c r="E138" s="19">
        <v>7</v>
      </c>
      <c r="F138" s="19">
        <v>0</v>
      </c>
      <c r="G138" s="19">
        <v>0</v>
      </c>
      <c r="H138" s="19">
        <v>0</v>
      </c>
      <c r="I138" s="19">
        <v>3</v>
      </c>
      <c r="J138" s="19">
        <v>1</v>
      </c>
      <c r="K138" s="19">
        <f t="shared" si="14"/>
        <v>152</v>
      </c>
      <c r="L138" s="19">
        <v>2</v>
      </c>
      <c r="M138" s="19">
        <v>0</v>
      </c>
      <c r="N138" s="157">
        <f t="shared" si="15"/>
        <v>154</v>
      </c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</row>
    <row r="139" spans="1:49" x14ac:dyDescent="0.15">
      <c r="A139" s="452" t="s">
        <v>493</v>
      </c>
      <c r="B139" s="19">
        <v>106</v>
      </c>
      <c r="C139" s="19">
        <v>136</v>
      </c>
      <c r="D139" s="19">
        <v>7</v>
      </c>
      <c r="E139" s="19">
        <v>11</v>
      </c>
      <c r="F139" s="19">
        <v>0</v>
      </c>
      <c r="G139" s="19">
        <v>0</v>
      </c>
      <c r="H139" s="19">
        <v>0</v>
      </c>
      <c r="I139" s="19">
        <v>3</v>
      </c>
      <c r="J139" s="19">
        <v>0</v>
      </c>
      <c r="K139" s="19">
        <f t="shared" si="14"/>
        <v>116</v>
      </c>
      <c r="L139" s="19">
        <v>3</v>
      </c>
      <c r="M139" s="19">
        <v>0</v>
      </c>
      <c r="N139" s="157">
        <f t="shared" si="15"/>
        <v>119</v>
      </c>
      <c r="O139" s="258" t="s">
        <v>18</v>
      </c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</row>
    <row r="140" spans="1:49" x14ac:dyDescent="0.15">
      <c r="A140" s="452" t="s">
        <v>490</v>
      </c>
      <c r="B140" s="19">
        <v>131</v>
      </c>
      <c r="C140" s="19">
        <v>164</v>
      </c>
      <c r="D140" s="19">
        <v>6</v>
      </c>
      <c r="E140" s="19">
        <v>8</v>
      </c>
      <c r="F140" s="19">
        <v>1</v>
      </c>
      <c r="G140" s="19">
        <v>1</v>
      </c>
      <c r="H140" s="19">
        <v>0</v>
      </c>
      <c r="I140" s="19">
        <v>3</v>
      </c>
      <c r="J140" s="19">
        <v>0</v>
      </c>
      <c r="K140" s="19">
        <f t="shared" si="14"/>
        <v>141</v>
      </c>
      <c r="L140" s="19">
        <v>2</v>
      </c>
      <c r="M140" s="19">
        <v>0</v>
      </c>
      <c r="N140" s="157">
        <f t="shared" si="15"/>
        <v>143</v>
      </c>
      <c r="O140" s="444" t="s">
        <v>421</v>
      </c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</row>
    <row r="141" spans="1:49" x14ac:dyDescent="0.15">
      <c r="A141" s="452" t="s">
        <v>494</v>
      </c>
      <c r="B141" s="19">
        <v>97</v>
      </c>
      <c r="C141" s="19">
        <v>119</v>
      </c>
      <c r="D141" s="19">
        <v>8</v>
      </c>
      <c r="E141" s="19">
        <v>8</v>
      </c>
      <c r="F141" s="19">
        <v>2</v>
      </c>
      <c r="G141" s="19">
        <v>2</v>
      </c>
      <c r="H141" s="19">
        <v>1</v>
      </c>
      <c r="I141" s="19">
        <v>6</v>
      </c>
      <c r="J141" s="19">
        <v>1</v>
      </c>
      <c r="K141" s="19">
        <f t="shared" si="14"/>
        <v>115</v>
      </c>
      <c r="L141" s="19">
        <v>2</v>
      </c>
      <c r="M141" s="19">
        <v>0</v>
      </c>
      <c r="N141" s="157">
        <f t="shared" si="15"/>
        <v>117</v>
      </c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</row>
    <row r="142" spans="1:49" ht="14" thickBot="1" x14ac:dyDescent="0.2">
      <c r="A142" s="453" t="s">
        <v>493</v>
      </c>
      <c r="B142" s="19">
        <v>112</v>
      </c>
      <c r="C142" s="19">
        <v>136</v>
      </c>
      <c r="D142" s="19">
        <v>5</v>
      </c>
      <c r="E142" s="19">
        <v>6</v>
      </c>
      <c r="F142" s="19">
        <v>0</v>
      </c>
      <c r="G142" s="19">
        <v>0</v>
      </c>
      <c r="H142" s="19">
        <v>0</v>
      </c>
      <c r="I142" s="19">
        <v>3</v>
      </c>
      <c r="J142" s="19">
        <v>0</v>
      </c>
      <c r="K142" s="19">
        <f t="shared" si="14"/>
        <v>120</v>
      </c>
      <c r="L142" s="19">
        <v>1</v>
      </c>
      <c r="M142" s="19">
        <v>0</v>
      </c>
      <c r="N142" s="157">
        <f t="shared" si="15"/>
        <v>121</v>
      </c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</row>
    <row r="143" spans="1:49" ht="14" thickBot="1" x14ac:dyDescent="0.2">
      <c r="A143" s="545" t="s">
        <v>402</v>
      </c>
      <c r="B143" s="225">
        <f>SUM(B128:B142)</f>
        <v>1528</v>
      </c>
      <c r="C143" s="225">
        <f t="shared" ref="C143:N143" si="16">SUM(C128:C142)</f>
        <v>1816</v>
      </c>
      <c r="D143" s="225">
        <f t="shared" si="16"/>
        <v>101</v>
      </c>
      <c r="E143" s="225">
        <f t="shared" si="16"/>
        <v>113</v>
      </c>
      <c r="F143" s="225">
        <f t="shared" si="16"/>
        <v>7</v>
      </c>
      <c r="G143" s="225">
        <f t="shared" si="16"/>
        <v>7</v>
      </c>
      <c r="H143" s="225">
        <f t="shared" si="16"/>
        <v>10</v>
      </c>
      <c r="I143" s="225">
        <f t="shared" si="16"/>
        <v>37</v>
      </c>
      <c r="J143" s="225">
        <f t="shared" si="16"/>
        <v>5</v>
      </c>
      <c r="K143" s="225">
        <f t="shared" si="16"/>
        <v>1688</v>
      </c>
      <c r="L143" s="225">
        <f t="shared" si="16"/>
        <v>34</v>
      </c>
      <c r="M143" s="225">
        <f t="shared" si="16"/>
        <v>4</v>
      </c>
      <c r="N143" s="226">
        <f t="shared" si="16"/>
        <v>1726</v>
      </c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</row>
    <row r="144" spans="1:49" ht="14" thickBot="1" x14ac:dyDescent="0.2">
      <c r="A144" s="545" t="s">
        <v>499</v>
      </c>
      <c r="B144" s="370"/>
      <c r="C144" s="281">
        <f>+C143/B143</f>
        <v>1.1884816753926701</v>
      </c>
      <c r="D144" s="282"/>
      <c r="E144" s="281">
        <f>+E143/D143</f>
        <v>1.1188118811881189</v>
      </c>
      <c r="F144" s="282"/>
      <c r="G144" s="281">
        <f>+G143/F143</f>
        <v>1</v>
      </c>
      <c r="H144" s="370"/>
      <c r="I144" s="370"/>
      <c r="J144" s="370"/>
      <c r="K144" s="370"/>
      <c r="L144" s="370"/>
      <c r="M144" s="370"/>
      <c r="N144" s="441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</row>
    <row r="145" spans="1:49" x14ac:dyDescent="0.15">
      <c r="A145" s="452" t="s">
        <v>498</v>
      </c>
      <c r="B145" s="64" t="s">
        <v>18</v>
      </c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36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</row>
    <row r="146" spans="1:49" x14ac:dyDescent="0.15">
      <c r="A146" s="452" t="s">
        <v>490</v>
      </c>
      <c r="B146" s="19">
        <v>118</v>
      </c>
      <c r="C146" s="19">
        <v>145</v>
      </c>
      <c r="D146" s="19">
        <v>8</v>
      </c>
      <c r="E146" s="19">
        <v>13</v>
      </c>
      <c r="F146" s="19">
        <v>0</v>
      </c>
      <c r="G146" s="19">
        <v>0</v>
      </c>
      <c r="H146" s="19">
        <v>0</v>
      </c>
      <c r="I146" s="19">
        <v>3</v>
      </c>
      <c r="J146" s="19">
        <v>0</v>
      </c>
      <c r="K146" s="19">
        <f t="shared" ref="K146:K155" si="17">+B146+D146+F146+H146+I146+J146</f>
        <v>129</v>
      </c>
      <c r="L146" s="19">
        <v>5</v>
      </c>
      <c r="M146" s="19">
        <v>0</v>
      </c>
      <c r="N146" s="157">
        <f t="shared" ref="N146:N155" si="18">+K146+L146+M146</f>
        <v>134</v>
      </c>
      <c r="O146" s="444" t="s">
        <v>424</v>
      </c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</row>
    <row r="147" spans="1:49" x14ac:dyDescent="0.15">
      <c r="A147" s="452" t="s">
        <v>491</v>
      </c>
      <c r="B147" s="19">
        <v>99</v>
      </c>
      <c r="C147" s="19">
        <v>116</v>
      </c>
      <c r="D147" s="19">
        <v>2</v>
      </c>
      <c r="E147" s="19">
        <v>5</v>
      </c>
      <c r="F147" s="19">
        <v>0</v>
      </c>
      <c r="G147" s="19">
        <v>0</v>
      </c>
      <c r="H147" s="19">
        <v>0</v>
      </c>
      <c r="I147" s="19">
        <v>1</v>
      </c>
      <c r="J147" s="19">
        <v>0</v>
      </c>
      <c r="K147" s="19">
        <f t="shared" si="17"/>
        <v>102</v>
      </c>
      <c r="L147" s="19">
        <v>0</v>
      </c>
      <c r="M147" s="19">
        <v>0</v>
      </c>
      <c r="N147" s="157">
        <f t="shared" si="18"/>
        <v>102</v>
      </c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</row>
    <row r="148" spans="1:49" x14ac:dyDescent="0.15">
      <c r="A148" s="452" t="s">
        <v>492</v>
      </c>
      <c r="B148" s="19">
        <v>111</v>
      </c>
      <c r="C148" s="19">
        <v>137</v>
      </c>
      <c r="D148" s="19">
        <v>8</v>
      </c>
      <c r="E148" s="19">
        <v>12</v>
      </c>
      <c r="F148" s="19">
        <v>0</v>
      </c>
      <c r="G148" s="19">
        <v>0</v>
      </c>
      <c r="H148" s="19">
        <v>1</v>
      </c>
      <c r="I148" s="19">
        <v>2</v>
      </c>
      <c r="J148" s="19">
        <v>0</v>
      </c>
      <c r="K148" s="19">
        <f t="shared" si="17"/>
        <v>122</v>
      </c>
      <c r="L148" s="19">
        <v>3</v>
      </c>
      <c r="M148" s="19">
        <v>0</v>
      </c>
      <c r="N148" s="157">
        <f t="shared" si="18"/>
        <v>125</v>
      </c>
      <c r="O148" s="444" t="s">
        <v>424</v>
      </c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</row>
    <row r="149" spans="1:49" x14ac:dyDescent="0.15">
      <c r="A149" s="452" t="s">
        <v>493</v>
      </c>
      <c r="B149" s="19">
        <v>117</v>
      </c>
      <c r="C149" s="19">
        <v>146</v>
      </c>
      <c r="D149" s="19">
        <v>4</v>
      </c>
      <c r="E149" s="19">
        <v>4</v>
      </c>
      <c r="F149" s="19">
        <v>1</v>
      </c>
      <c r="G149" s="19">
        <v>1</v>
      </c>
      <c r="H149" s="19">
        <v>1</v>
      </c>
      <c r="I149" s="19">
        <v>1</v>
      </c>
      <c r="J149" s="19">
        <v>0</v>
      </c>
      <c r="K149" s="19">
        <f t="shared" si="17"/>
        <v>124</v>
      </c>
      <c r="L149" s="19">
        <v>2</v>
      </c>
      <c r="M149" s="19">
        <v>0</v>
      </c>
      <c r="N149" s="157">
        <f t="shared" si="18"/>
        <v>126</v>
      </c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</row>
    <row r="150" spans="1:49" x14ac:dyDescent="0.15">
      <c r="A150" s="452" t="s">
        <v>494</v>
      </c>
      <c r="B150" s="19">
        <v>125</v>
      </c>
      <c r="C150" s="19">
        <v>155</v>
      </c>
      <c r="D150" s="19">
        <v>7</v>
      </c>
      <c r="E150" s="19">
        <v>8</v>
      </c>
      <c r="F150" s="19">
        <v>0</v>
      </c>
      <c r="G150" s="19">
        <v>0</v>
      </c>
      <c r="H150" s="19">
        <v>1</v>
      </c>
      <c r="I150" s="19">
        <v>1</v>
      </c>
      <c r="J150" s="19">
        <v>0</v>
      </c>
      <c r="K150" s="19">
        <f t="shared" si="17"/>
        <v>134</v>
      </c>
      <c r="L150" s="19">
        <v>2</v>
      </c>
      <c r="M150" s="19">
        <v>0</v>
      </c>
      <c r="N150" s="157">
        <f t="shared" si="18"/>
        <v>136</v>
      </c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</row>
    <row r="151" spans="1:49" x14ac:dyDescent="0.15">
      <c r="A151" s="452" t="s">
        <v>490</v>
      </c>
      <c r="B151" s="19">
        <v>135</v>
      </c>
      <c r="C151" s="19">
        <v>174</v>
      </c>
      <c r="D151" s="19">
        <v>5</v>
      </c>
      <c r="E151" s="19">
        <v>5</v>
      </c>
      <c r="F151" s="19">
        <v>0</v>
      </c>
      <c r="G151" s="19">
        <v>0</v>
      </c>
      <c r="H151" s="19">
        <v>0</v>
      </c>
      <c r="I151" s="19">
        <v>5</v>
      </c>
      <c r="J151" s="19">
        <v>0</v>
      </c>
      <c r="K151" s="19">
        <f t="shared" si="17"/>
        <v>145</v>
      </c>
      <c r="L151" s="19">
        <v>4</v>
      </c>
      <c r="M151" s="19">
        <v>0</v>
      </c>
      <c r="N151" s="157">
        <f t="shared" si="18"/>
        <v>149</v>
      </c>
      <c r="O151" s="444" t="s">
        <v>418</v>
      </c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</row>
    <row r="152" spans="1:49" x14ac:dyDescent="0.15">
      <c r="A152" s="452" t="s">
        <v>491</v>
      </c>
      <c r="B152" s="19">
        <v>104</v>
      </c>
      <c r="C152" s="19">
        <v>141</v>
      </c>
      <c r="D152" s="19">
        <v>2</v>
      </c>
      <c r="E152" s="19">
        <v>2</v>
      </c>
      <c r="F152" s="19">
        <v>0</v>
      </c>
      <c r="G152" s="19">
        <v>0</v>
      </c>
      <c r="H152" s="19">
        <v>4</v>
      </c>
      <c r="I152" s="19">
        <v>0</v>
      </c>
      <c r="J152" s="19">
        <v>0</v>
      </c>
      <c r="K152" s="19">
        <f t="shared" si="17"/>
        <v>110</v>
      </c>
      <c r="L152" s="19">
        <v>4</v>
      </c>
      <c r="M152" s="19">
        <v>0</v>
      </c>
      <c r="N152" s="157">
        <f t="shared" si="18"/>
        <v>114</v>
      </c>
      <c r="O152" s="444" t="s">
        <v>424</v>
      </c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</row>
    <row r="153" spans="1:49" x14ac:dyDescent="0.15">
      <c r="A153" s="55" t="s">
        <v>492</v>
      </c>
      <c r="B153" s="19">
        <v>156</v>
      </c>
      <c r="C153" s="19">
        <v>197</v>
      </c>
      <c r="D153" s="19">
        <v>4</v>
      </c>
      <c r="E153" s="19">
        <v>5</v>
      </c>
      <c r="F153" s="19">
        <v>0</v>
      </c>
      <c r="G153" s="19">
        <v>0</v>
      </c>
      <c r="H153" s="19">
        <v>0</v>
      </c>
      <c r="I153" s="19">
        <v>1</v>
      </c>
      <c r="J153" s="19">
        <v>0</v>
      </c>
      <c r="K153" s="19">
        <f t="shared" si="17"/>
        <v>161</v>
      </c>
      <c r="L153" s="19">
        <v>2</v>
      </c>
      <c r="M153" s="19">
        <v>0</v>
      </c>
      <c r="N153" s="157">
        <f t="shared" si="18"/>
        <v>163</v>
      </c>
      <c r="O153" s="444" t="s">
        <v>424</v>
      </c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</row>
    <row r="154" spans="1:49" x14ac:dyDescent="0.15">
      <c r="A154" s="381" t="s">
        <v>493</v>
      </c>
      <c r="B154" s="19">
        <v>145</v>
      </c>
      <c r="C154" s="19">
        <v>186</v>
      </c>
      <c r="D154" s="19">
        <v>2</v>
      </c>
      <c r="E154" s="19">
        <v>3</v>
      </c>
      <c r="F154" s="19">
        <v>0</v>
      </c>
      <c r="G154" s="19">
        <v>0</v>
      </c>
      <c r="H154" s="19">
        <v>0</v>
      </c>
      <c r="I154" s="19">
        <v>1</v>
      </c>
      <c r="J154" s="19">
        <v>0</v>
      </c>
      <c r="K154" s="19">
        <f>+B154+D154+F154+H154+I154+J154</f>
        <v>148</v>
      </c>
      <c r="L154" s="19">
        <v>4</v>
      </c>
      <c r="M154" s="19">
        <v>0</v>
      </c>
      <c r="N154" s="157">
        <f t="shared" si="18"/>
        <v>152</v>
      </c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</row>
    <row r="155" spans="1:49" ht="14" thickBot="1" x14ac:dyDescent="0.2">
      <c r="A155" s="381" t="s">
        <v>493</v>
      </c>
      <c r="B155" s="19">
        <v>122</v>
      </c>
      <c r="C155" s="19">
        <v>171</v>
      </c>
      <c r="D155" s="19">
        <v>0</v>
      </c>
      <c r="E155" s="19">
        <v>0</v>
      </c>
      <c r="F155" s="19">
        <v>1</v>
      </c>
      <c r="G155" s="19">
        <v>1</v>
      </c>
      <c r="H155" s="19">
        <v>0</v>
      </c>
      <c r="I155" s="19">
        <v>1</v>
      </c>
      <c r="J155" s="19">
        <v>0</v>
      </c>
      <c r="K155" s="19">
        <f t="shared" si="17"/>
        <v>124</v>
      </c>
      <c r="L155" s="19">
        <v>4</v>
      </c>
      <c r="M155" s="19">
        <v>0</v>
      </c>
      <c r="N155" s="157">
        <f t="shared" si="18"/>
        <v>128</v>
      </c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</row>
    <row r="156" spans="1:49" ht="14" thickBot="1" x14ac:dyDescent="0.2">
      <c r="A156" s="546" t="s">
        <v>402</v>
      </c>
      <c r="B156" s="225">
        <f t="shared" ref="B156:N156" si="19">SUM(B146:B155)</f>
        <v>1232</v>
      </c>
      <c r="C156" s="225">
        <f t="shared" si="19"/>
        <v>1568</v>
      </c>
      <c r="D156" s="225">
        <f t="shared" si="19"/>
        <v>42</v>
      </c>
      <c r="E156" s="225">
        <f t="shared" si="19"/>
        <v>57</v>
      </c>
      <c r="F156" s="225">
        <f t="shared" si="19"/>
        <v>2</v>
      </c>
      <c r="G156" s="225">
        <f t="shared" si="19"/>
        <v>2</v>
      </c>
      <c r="H156" s="225">
        <f t="shared" si="19"/>
        <v>7</v>
      </c>
      <c r="I156" s="225">
        <f t="shared" si="19"/>
        <v>16</v>
      </c>
      <c r="J156" s="225">
        <f t="shared" si="19"/>
        <v>0</v>
      </c>
      <c r="K156" s="225">
        <f t="shared" si="19"/>
        <v>1299</v>
      </c>
      <c r="L156" s="225">
        <f t="shared" si="19"/>
        <v>30</v>
      </c>
      <c r="M156" s="225">
        <f t="shared" si="19"/>
        <v>0</v>
      </c>
      <c r="N156" s="226">
        <f t="shared" si="19"/>
        <v>1329</v>
      </c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</row>
    <row r="157" spans="1:49" ht="14" thickBot="1" x14ac:dyDescent="0.2">
      <c r="A157" s="259" t="s">
        <v>499</v>
      </c>
      <c r="B157" s="370"/>
      <c r="C157" s="281">
        <f>+C156/B156</f>
        <v>1.2727272727272727</v>
      </c>
      <c r="D157" s="282"/>
      <c r="E157" s="281">
        <f>+E156/D156</f>
        <v>1.3571428571428572</v>
      </c>
      <c r="F157" s="282"/>
      <c r="G157" s="281">
        <f>+G156/F156</f>
        <v>1</v>
      </c>
      <c r="H157" s="370"/>
      <c r="I157" s="370"/>
      <c r="J157" s="370"/>
      <c r="K157" s="370"/>
      <c r="L157" s="370"/>
      <c r="M157" s="370"/>
      <c r="N157" s="441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</row>
    <row r="158" spans="1:49" ht="14" thickBot="1" x14ac:dyDescent="0.2">
      <c r="A158" s="259" t="s">
        <v>68</v>
      </c>
      <c r="B158" s="225">
        <f>+B143+B156</f>
        <v>2760</v>
      </c>
      <c r="C158" s="225">
        <f>+C143+C156</f>
        <v>3384</v>
      </c>
      <c r="D158" s="225">
        <f t="shared" ref="D158:N158" si="20">+D143+D156</f>
        <v>143</v>
      </c>
      <c r="E158" s="225">
        <f t="shared" si="20"/>
        <v>170</v>
      </c>
      <c r="F158" s="225">
        <f t="shared" si="20"/>
        <v>9</v>
      </c>
      <c r="G158" s="225">
        <f t="shared" si="20"/>
        <v>9</v>
      </c>
      <c r="H158" s="225">
        <f t="shared" si="20"/>
        <v>17</v>
      </c>
      <c r="I158" s="225">
        <f t="shared" si="20"/>
        <v>53</v>
      </c>
      <c r="J158" s="225">
        <f t="shared" si="20"/>
        <v>5</v>
      </c>
      <c r="K158" s="225">
        <f t="shared" si="20"/>
        <v>2987</v>
      </c>
      <c r="L158" s="225">
        <f t="shared" si="20"/>
        <v>64</v>
      </c>
      <c r="M158" s="225">
        <f t="shared" si="20"/>
        <v>4</v>
      </c>
      <c r="N158" s="226">
        <f t="shared" si="20"/>
        <v>3055</v>
      </c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</row>
    <row r="159" spans="1:49" ht="14" thickBot="1" x14ac:dyDescent="0.2">
      <c r="A159" s="259" t="s">
        <v>500</v>
      </c>
      <c r="B159" s="445"/>
      <c r="C159" s="547">
        <f>+C158/B158</f>
        <v>1.2260869565217392</v>
      </c>
      <c r="D159" s="548"/>
      <c r="E159" s="547">
        <f>+E158/D158</f>
        <v>1.1888111888111887</v>
      </c>
      <c r="F159" s="548"/>
      <c r="G159" s="547">
        <f>+G158/F158</f>
        <v>1</v>
      </c>
      <c r="H159" s="370"/>
      <c r="I159" s="370"/>
      <c r="J159" s="370"/>
      <c r="K159" s="370"/>
      <c r="L159" s="370"/>
      <c r="M159" s="370"/>
      <c r="N159" s="441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</row>
    <row r="160" spans="1:49" ht="14" thickBot="1" x14ac:dyDescent="0.2">
      <c r="A160" s="543" t="s">
        <v>670</v>
      </c>
      <c r="B160" s="279">
        <f>+B158/K158</f>
        <v>0.92400401740877136</v>
      </c>
      <c r="C160" s="282"/>
      <c r="D160" s="279">
        <f>+D158/K158</f>
        <v>4.7874121191831272E-2</v>
      </c>
      <c r="E160" s="282"/>
      <c r="F160" s="279">
        <f>+F158/K158</f>
        <v>3.0130565785068631E-3</v>
      </c>
      <c r="G160" s="282"/>
      <c r="H160" s="279">
        <f>+H158/K158</f>
        <v>5.691329092735186E-3</v>
      </c>
      <c r="I160" s="279">
        <f>+I158/K158</f>
        <v>1.7743555406762639E-2</v>
      </c>
      <c r="J160" s="279">
        <f>+J158/K158</f>
        <v>1.6739203213927017E-3</v>
      </c>
      <c r="K160" s="279">
        <f>SUM(B160:J160)</f>
        <v>1</v>
      </c>
      <c r="L160" s="282"/>
      <c r="M160" s="282"/>
      <c r="N160" s="283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</row>
    <row r="161" spans="1:49" ht="14" thickBot="1" x14ac:dyDescent="0.2">
      <c r="A161" s="543" t="s">
        <v>114</v>
      </c>
      <c r="B161" s="549">
        <f>+B158/N158</f>
        <v>0.90343698854337151</v>
      </c>
      <c r="C161" s="549"/>
      <c r="D161" s="549">
        <f>+D158/N158</f>
        <v>4.6808510638297871E-2</v>
      </c>
      <c r="E161" s="549" t="s">
        <v>18</v>
      </c>
      <c r="F161" s="549">
        <f>+F158/N158</f>
        <v>2.9459901800327334E-3</v>
      </c>
      <c r="G161" s="549"/>
      <c r="H161" s="549">
        <f>+H158/N158</f>
        <v>5.5646481178396072E-3</v>
      </c>
      <c r="I161" s="549">
        <f>+I158/N158</f>
        <v>1.7348608837970542E-2</v>
      </c>
      <c r="J161" s="549">
        <f>+J158/N158</f>
        <v>1.6366612111292963E-3</v>
      </c>
      <c r="K161" s="549">
        <f>SUM(B161:J161)</f>
        <v>0.97774140752864147</v>
      </c>
      <c r="L161" s="549">
        <f>+L158/N158</f>
        <v>2.0949263502454993E-2</v>
      </c>
      <c r="M161" s="549">
        <f>+M158/N158</f>
        <v>1.3093289689034371E-3</v>
      </c>
      <c r="N161" s="550">
        <f>+K161+L161+M161</f>
        <v>0.99999999999999989</v>
      </c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</row>
    <row r="162" spans="1:49" ht="14" thickBot="1" x14ac:dyDescent="0.2">
      <c r="A162" s="429" t="s">
        <v>18</v>
      </c>
      <c r="B162" s="430" t="s">
        <v>18</v>
      </c>
      <c r="C162" s="430"/>
      <c r="D162" s="430"/>
      <c r="E162" s="430" t="s">
        <v>18</v>
      </c>
      <c r="F162" s="430"/>
      <c r="G162" s="430" t="s">
        <v>18</v>
      </c>
      <c r="H162" s="430"/>
      <c r="I162" s="430"/>
      <c r="J162" s="430"/>
      <c r="K162" s="430"/>
      <c r="L162" s="430"/>
      <c r="M162" s="430"/>
      <c r="N162" s="430"/>
      <c r="O162" s="430"/>
      <c r="P162" s="430"/>
      <c r="Q162" s="430"/>
      <c r="R162" s="430"/>
      <c r="S162" s="430"/>
      <c r="T162" s="430"/>
      <c r="U162" s="430"/>
      <c r="V162" s="430"/>
      <c r="W162" s="430"/>
      <c r="X162" s="430"/>
      <c r="Y162" s="430"/>
      <c r="Z162" s="430"/>
      <c r="AA162" s="430"/>
      <c r="AB162" s="945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</row>
    <row r="163" spans="1:49" ht="14" thickBot="1" x14ac:dyDescent="0.2">
      <c r="A163" s="53" t="s">
        <v>12</v>
      </c>
      <c r="B163" s="154"/>
      <c r="C163" s="154"/>
      <c r="D163" s="155" t="s">
        <v>18</v>
      </c>
      <c r="E163" s="155" t="s">
        <v>188</v>
      </c>
      <c r="F163" s="155" t="s">
        <v>18</v>
      </c>
      <c r="G163" s="155" t="s">
        <v>18</v>
      </c>
      <c r="H163" s="154"/>
      <c r="I163" s="154" t="s">
        <v>18</v>
      </c>
      <c r="J163" s="154"/>
      <c r="K163" s="154"/>
      <c r="L163" s="154"/>
      <c r="M163" s="154"/>
      <c r="N163" s="203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</row>
    <row r="164" spans="1:49" x14ac:dyDescent="0.15">
      <c r="A164" s="74" t="s">
        <v>652</v>
      </c>
      <c r="B164" s="70" t="s">
        <v>100</v>
      </c>
      <c r="C164" s="19"/>
      <c r="D164" s="18" t="s">
        <v>169</v>
      </c>
      <c r="E164" s="18" t="s">
        <v>189</v>
      </c>
      <c r="F164" s="18" t="s">
        <v>170</v>
      </c>
      <c r="G164" s="18" t="s">
        <v>184</v>
      </c>
      <c r="H164" s="18" t="s">
        <v>194</v>
      </c>
      <c r="I164" s="19"/>
      <c r="J164" s="19"/>
      <c r="K164" s="19"/>
      <c r="L164" s="19"/>
      <c r="M164" s="19"/>
      <c r="N164" s="254" t="s">
        <v>18</v>
      </c>
      <c r="O164" s="17"/>
      <c r="P164" s="153"/>
      <c r="Q164" s="168" t="s">
        <v>12</v>
      </c>
      <c r="R164" s="154"/>
      <c r="S164" s="154"/>
      <c r="T164" s="227" t="s">
        <v>18</v>
      </c>
      <c r="U164" s="154"/>
      <c r="V164" s="154"/>
      <c r="W164" s="154"/>
      <c r="X164" s="154"/>
      <c r="Y164" s="154"/>
      <c r="Z164" s="154"/>
      <c r="AA164" s="154"/>
      <c r="AB164" s="203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</row>
    <row r="165" spans="1:49" ht="14" thickBot="1" x14ac:dyDescent="0.2">
      <c r="A165" s="74" t="s">
        <v>18</v>
      </c>
      <c r="B165" s="19"/>
      <c r="C165" s="19"/>
      <c r="D165" s="230" t="s">
        <v>509</v>
      </c>
      <c r="E165" s="235">
        <v>0.32916666666666666</v>
      </c>
      <c r="F165" s="230" t="s">
        <v>508</v>
      </c>
      <c r="G165" s="230" t="s">
        <v>185</v>
      </c>
      <c r="H165" s="230" t="s">
        <v>668</v>
      </c>
      <c r="I165" s="19"/>
      <c r="J165" s="19"/>
      <c r="K165" s="19"/>
      <c r="L165" s="19"/>
      <c r="M165" s="19"/>
      <c r="N165" s="157"/>
      <c r="O165" s="17"/>
      <c r="P165" s="206"/>
      <c r="Q165" s="260" t="s">
        <v>445</v>
      </c>
      <c r="R165" s="222" t="s">
        <v>171</v>
      </c>
      <c r="S165" s="160"/>
      <c r="T165" s="160"/>
      <c r="U165" s="160"/>
      <c r="V165" s="160"/>
      <c r="W165" s="160"/>
      <c r="X165" s="160"/>
      <c r="Y165" s="160"/>
      <c r="Z165" s="160"/>
      <c r="AA165" s="160"/>
      <c r="AB165" s="162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</row>
    <row r="166" spans="1:49" ht="14" thickBot="1" x14ac:dyDescent="0.2">
      <c r="A166" s="56"/>
      <c r="B166" s="19"/>
      <c r="C166" s="19"/>
      <c r="D166" s="19" t="s">
        <v>940</v>
      </c>
      <c r="E166" s="235">
        <v>0.58124999999999993</v>
      </c>
      <c r="F166" s="955" t="s">
        <v>504</v>
      </c>
      <c r="G166" s="19" t="s">
        <v>185</v>
      </c>
      <c r="H166" s="19"/>
      <c r="I166" s="19"/>
      <c r="J166" s="19"/>
      <c r="K166" s="19"/>
      <c r="L166" s="19"/>
      <c r="M166" s="19"/>
      <c r="N166" s="157"/>
      <c r="O166" s="17"/>
      <c r="P166" s="168" t="s">
        <v>175</v>
      </c>
      <c r="Q166" s="443">
        <v>0.85</v>
      </c>
      <c r="R166" s="443">
        <v>0.5</v>
      </c>
      <c r="S166" s="443">
        <v>0.15</v>
      </c>
      <c r="T166" s="443">
        <v>0.95</v>
      </c>
      <c r="U166" s="155" t="s">
        <v>172</v>
      </c>
      <c r="V166" s="155" t="s">
        <v>154</v>
      </c>
      <c r="W166" s="155" t="s">
        <v>178</v>
      </c>
      <c r="X166" s="155" t="s">
        <v>183</v>
      </c>
      <c r="Y166" s="155" t="s">
        <v>169</v>
      </c>
      <c r="Z166" s="155" t="s">
        <v>170</v>
      </c>
      <c r="AA166" s="155" t="s">
        <v>184</v>
      </c>
      <c r="AB166" s="205" t="s">
        <v>384</v>
      </c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</row>
    <row r="167" spans="1:49" x14ac:dyDescent="0.15">
      <c r="A167" s="53" t="s">
        <v>101</v>
      </c>
      <c r="B167" s="155" t="s">
        <v>103</v>
      </c>
      <c r="C167" s="155" t="s">
        <v>112</v>
      </c>
      <c r="D167" s="155" t="s">
        <v>105</v>
      </c>
      <c r="E167" s="155" t="s">
        <v>112</v>
      </c>
      <c r="F167" s="155" t="s">
        <v>105</v>
      </c>
      <c r="G167" s="155" t="s">
        <v>112</v>
      </c>
      <c r="H167" s="155" t="s">
        <v>108</v>
      </c>
      <c r="I167" s="155" t="s">
        <v>36</v>
      </c>
      <c r="J167" s="155" t="s">
        <v>109</v>
      </c>
      <c r="K167" s="155" t="s">
        <v>84</v>
      </c>
      <c r="L167" s="155" t="s">
        <v>110</v>
      </c>
      <c r="M167" s="155" t="s">
        <v>111</v>
      </c>
      <c r="N167" s="205" t="s">
        <v>167</v>
      </c>
      <c r="O167" s="17"/>
      <c r="P167" s="220" t="s">
        <v>176</v>
      </c>
      <c r="Q167" s="276">
        <v>22</v>
      </c>
      <c r="R167" s="276">
        <v>18</v>
      </c>
      <c r="S167" s="276">
        <v>15</v>
      </c>
      <c r="T167" s="276">
        <v>24</v>
      </c>
      <c r="U167" s="799" t="s">
        <v>674</v>
      </c>
      <c r="V167" s="276">
        <v>25</v>
      </c>
      <c r="W167" s="230" t="s">
        <v>505</v>
      </c>
      <c r="X167" s="23">
        <v>0.38958333333333334</v>
      </c>
      <c r="Y167" s="230" t="s">
        <v>382</v>
      </c>
      <c r="Z167" s="230" t="s">
        <v>219</v>
      </c>
      <c r="AA167" s="230" t="s">
        <v>185</v>
      </c>
      <c r="AB167" s="157">
        <v>108</v>
      </c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17"/>
      <c r="AV167" s="17"/>
      <c r="AW167" s="17"/>
    </row>
    <row r="168" spans="1:49" ht="14" thickBot="1" x14ac:dyDescent="0.2">
      <c r="A168" s="55" t="s">
        <v>102</v>
      </c>
      <c r="B168" s="159" t="s">
        <v>104</v>
      </c>
      <c r="C168" s="159"/>
      <c r="D168" s="159" t="s">
        <v>106</v>
      </c>
      <c r="E168" s="159"/>
      <c r="F168" s="159" t="s">
        <v>107</v>
      </c>
      <c r="G168" s="159"/>
      <c r="H168" s="159"/>
      <c r="I168" s="159"/>
      <c r="J168" s="159"/>
      <c r="K168" s="159" t="s">
        <v>113</v>
      </c>
      <c r="L168" s="159"/>
      <c r="M168" s="159"/>
      <c r="N168" s="165" t="s">
        <v>168</v>
      </c>
      <c r="O168" s="17"/>
      <c r="P168" s="220" t="s">
        <v>177</v>
      </c>
      <c r="Q168" s="276">
        <v>21</v>
      </c>
      <c r="R168" s="276">
        <v>18</v>
      </c>
      <c r="S168" s="276">
        <v>15</v>
      </c>
      <c r="T168" s="276">
        <v>23</v>
      </c>
      <c r="U168" s="276" t="s">
        <v>507</v>
      </c>
      <c r="V168" s="276">
        <v>25</v>
      </c>
      <c r="W168" s="230" t="s">
        <v>506</v>
      </c>
      <c r="X168" s="23">
        <v>0.42499999999999999</v>
      </c>
      <c r="Y168" s="230" t="s">
        <v>381</v>
      </c>
      <c r="Z168" s="230" t="s">
        <v>219</v>
      </c>
      <c r="AA168" s="230" t="s">
        <v>185</v>
      </c>
      <c r="AB168" s="157">
        <v>103</v>
      </c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</row>
    <row r="169" spans="1:49" ht="14" thickBot="1" x14ac:dyDescent="0.2">
      <c r="A169" s="956" t="s">
        <v>667</v>
      </c>
      <c r="B169" s="155"/>
      <c r="C169" s="155"/>
      <c r="D169" s="155"/>
      <c r="E169" s="155"/>
      <c r="F169" s="155"/>
      <c r="G169" s="155"/>
      <c r="H169" s="155"/>
      <c r="I169" s="155"/>
      <c r="J169" s="155"/>
      <c r="K169" s="155"/>
      <c r="L169" s="155"/>
      <c r="M169" s="155"/>
      <c r="N169" s="205"/>
      <c r="O169" s="17"/>
      <c r="P169" s="219" t="s">
        <v>784</v>
      </c>
      <c r="Q169" s="803">
        <v>9700</v>
      </c>
      <c r="R169" s="275"/>
      <c r="S169" s="275"/>
      <c r="T169" s="275"/>
      <c r="U169" s="275"/>
      <c r="V169" s="275"/>
      <c r="W169" s="228"/>
      <c r="X169" s="161"/>
      <c r="Y169" s="228"/>
      <c r="Z169" s="228"/>
      <c r="AA169" s="228"/>
      <c r="AB169" s="162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</row>
    <row r="170" spans="1:49" x14ac:dyDescent="0.15">
      <c r="A170" s="457" t="s">
        <v>448</v>
      </c>
      <c r="B170" s="461">
        <v>21</v>
      </c>
      <c r="C170" s="461">
        <v>27</v>
      </c>
      <c r="D170" s="461">
        <v>0</v>
      </c>
      <c r="E170" s="461">
        <v>0</v>
      </c>
      <c r="F170" s="461">
        <v>4</v>
      </c>
      <c r="G170" s="461">
        <v>4</v>
      </c>
      <c r="H170" s="461">
        <v>0</v>
      </c>
      <c r="I170" s="461">
        <v>1</v>
      </c>
      <c r="J170" s="461">
        <v>0</v>
      </c>
      <c r="K170" s="19">
        <f t="shared" ref="K170:K181" si="21">+B170+D170+F170+H170+I170+J170</f>
        <v>26</v>
      </c>
      <c r="L170" s="461">
        <v>6</v>
      </c>
      <c r="M170" s="461">
        <v>0</v>
      </c>
      <c r="N170" s="157">
        <f t="shared" ref="N170:N181" si="22">+K170+L170+M170</f>
        <v>32</v>
      </c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</row>
    <row r="171" spans="1:49" x14ac:dyDescent="0.15">
      <c r="A171" s="456" t="s">
        <v>510</v>
      </c>
      <c r="B171" s="461">
        <v>24</v>
      </c>
      <c r="C171" s="461">
        <v>26</v>
      </c>
      <c r="D171" s="461">
        <v>4</v>
      </c>
      <c r="E171" s="461">
        <v>4</v>
      </c>
      <c r="F171" s="461">
        <v>2</v>
      </c>
      <c r="G171" s="461">
        <v>2</v>
      </c>
      <c r="H171" s="461">
        <v>0</v>
      </c>
      <c r="I171" s="461">
        <v>1</v>
      </c>
      <c r="J171" s="461">
        <v>0</v>
      </c>
      <c r="K171" s="19">
        <f t="shared" si="21"/>
        <v>31</v>
      </c>
      <c r="L171" s="461">
        <v>6</v>
      </c>
      <c r="M171" s="461">
        <v>0</v>
      </c>
      <c r="N171" s="157">
        <f t="shared" si="22"/>
        <v>37</v>
      </c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  <c r="AU171" s="17"/>
      <c r="AV171" s="17"/>
      <c r="AW171" s="17"/>
    </row>
    <row r="172" spans="1:49" x14ac:dyDescent="0.15">
      <c r="A172" s="457" t="s">
        <v>511</v>
      </c>
      <c r="B172" s="461">
        <v>13</v>
      </c>
      <c r="C172" s="461">
        <v>15</v>
      </c>
      <c r="D172" s="461">
        <v>0</v>
      </c>
      <c r="E172" s="461">
        <v>0</v>
      </c>
      <c r="F172" s="461">
        <v>0</v>
      </c>
      <c r="G172" s="461">
        <v>0</v>
      </c>
      <c r="H172" s="461">
        <v>0</v>
      </c>
      <c r="I172" s="461">
        <v>0</v>
      </c>
      <c r="J172" s="461">
        <v>0</v>
      </c>
      <c r="K172" s="19">
        <f t="shared" si="21"/>
        <v>13</v>
      </c>
      <c r="L172" s="461">
        <v>7</v>
      </c>
      <c r="M172" s="461">
        <v>0</v>
      </c>
      <c r="N172" s="157">
        <f t="shared" si="22"/>
        <v>20</v>
      </c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</row>
    <row r="173" spans="1:49" x14ac:dyDescent="0.15">
      <c r="A173" s="458" t="s">
        <v>510</v>
      </c>
      <c r="B173" s="455">
        <v>33</v>
      </c>
      <c r="C173" s="461">
        <v>36</v>
      </c>
      <c r="D173" s="461">
        <v>2</v>
      </c>
      <c r="E173" s="461">
        <v>2</v>
      </c>
      <c r="F173" s="461">
        <v>0</v>
      </c>
      <c r="G173" s="461">
        <v>0</v>
      </c>
      <c r="H173" s="461">
        <v>1</v>
      </c>
      <c r="I173" s="461">
        <v>3</v>
      </c>
      <c r="J173" s="461">
        <v>0</v>
      </c>
      <c r="K173" s="19">
        <f t="shared" si="21"/>
        <v>39</v>
      </c>
      <c r="L173" s="461">
        <v>7</v>
      </c>
      <c r="M173" s="461">
        <v>0</v>
      </c>
      <c r="N173" s="157">
        <f t="shared" si="22"/>
        <v>46</v>
      </c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</row>
    <row r="174" spans="1:49" x14ac:dyDescent="0.15">
      <c r="A174" s="458" t="s">
        <v>448</v>
      </c>
      <c r="B174" s="455">
        <v>42</v>
      </c>
      <c r="C174" s="461">
        <v>49</v>
      </c>
      <c r="D174" s="461">
        <v>1</v>
      </c>
      <c r="E174" s="461">
        <v>1</v>
      </c>
      <c r="F174" s="461">
        <v>2</v>
      </c>
      <c r="G174" s="461">
        <v>2</v>
      </c>
      <c r="H174" s="461">
        <v>0</v>
      </c>
      <c r="I174" s="461">
        <v>0</v>
      </c>
      <c r="J174" s="461">
        <v>0</v>
      </c>
      <c r="K174" s="426">
        <f t="shared" si="21"/>
        <v>45</v>
      </c>
      <c r="L174" s="461">
        <v>2</v>
      </c>
      <c r="M174" s="461">
        <v>0</v>
      </c>
      <c r="N174" s="442">
        <f t="shared" si="22"/>
        <v>47</v>
      </c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</row>
    <row r="175" spans="1:49" x14ac:dyDescent="0.15">
      <c r="A175" s="458" t="s">
        <v>510</v>
      </c>
      <c r="B175" s="455">
        <v>40</v>
      </c>
      <c r="C175" s="461">
        <v>44</v>
      </c>
      <c r="D175" s="461">
        <v>1</v>
      </c>
      <c r="E175" s="461">
        <v>1</v>
      </c>
      <c r="F175" s="461">
        <v>0</v>
      </c>
      <c r="G175" s="461">
        <v>0</v>
      </c>
      <c r="H175" s="461">
        <v>0</v>
      </c>
      <c r="I175" s="461">
        <v>1</v>
      </c>
      <c r="J175" s="461">
        <v>0</v>
      </c>
      <c r="K175" s="426">
        <f t="shared" si="21"/>
        <v>42</v>
      </c>
      <c r="L175" s="461">
        <v>8</v>
      </c>
      <c r="M175" s="461">
        <v>0</v>
      </c>
      <c r="N175" s="442">
        <f t="shared" si="22"/>
        <v>50</v>
      </c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17"/>
      <c r="AV175" s="17"/>
      <c r="AW175" s="17"/>
    </row>
    <row r="176" spans="1:49" x14ac:dyDescent="0.15">
      <c r="A176" s="458" t="s">
        <v>511</v>
      </c>
      <c r="B176" s="455">
        <v>22</v>
      </c>
      <c r="C176" s="461">
        <v>24</v>
      </c>
      <c r="D176" s="461">
        <v>0</v>
      </c>
      <c r="E176" s="461">
        <v>0</v>
      </c>
      <c r="F176" s="461">
        <v>1</v>
      </c>
      <c r="G176" s="461">
        <v>1</v>
      </c>
      <c r="H176" s="461">
        <v>0</v>
      </c>
      <c r="I176" s="461">
        <v>1</v>
      </c>
      <c r="J176" s="461">
        <v>0</v>
      </c>
      <c r="K176" s="426">
        <f t="shared" si="21"/>
        <v>24</v>
      </c>
      <c r="L176" s="461">
        <v>6</v>
      </c>
      <c r="M176" s="461">
        <v>0</v>
      </c>
      <c r="N176" s="442">
        <f t="shared" si="22"/>
        <v>30</v>
      </c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</row>
    <row r="177" spans="1:49" x14ac:dyDescent="0.15">
      <c r="A177" s="458" t="s">
        <v>510</v>
      </c>
      <c r="B177" s="455">
        <v>34</v>
      </c>
      <c r="C177" s="461">
        <v>38</v>
      </c>
      <c r="D177" s="461">
        <v>1</v>
      </c>
      <c r="E177" s="461">
        <v>1</v>
      </c>
      <c r="F177" s="461">
        <v>2</v>
      </c>
      <c r="G177" s="461">
        <v>3</v>
      </c>
      <c r="H177" s="461">
        <v>0</v>
      </c>
      <c r="I177" s="461">
        <v>0</v>
      </c>
      <c r="J177" s="461">
        <v>0</v>
      </c>
      <c r="K177" s="426">
        <f t="shared" si="21"/>
        <v>37</v>
      </c>
      <c r="L177" s="461">
        <v>3</v>
      </c>
      <c r="M177" s="461">
        <v>0</v>
      </c>
      <c r="N177" s="442">
        <f t="shared" si="22"/>
        <v>40</v>
      </c>
      <c r="O177" s="17">
        <f>191/135</f>
        <v>1.4148148148148147</v>
      </c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</row>
    <row r="178" spans="1:49" x14ac:dyDescent="0.15">
      <c r="A178" s="458" t="s">
        <v>448</v>
      </c>
      <c r="B178" s="455">
        <v>31</v>
      </c>
      <c r="C178" s="461">
        <v>33</v>
      </c>
      <c r="D178" s="461">
        <v>5</v>
      </c>
      <c r="E178" s="461">
        <v>9</v>
      </c>
      <c r="F178" s="461">
        <v>1</v>
      </c>
      <c r="G178" s="461">
        <v>1</v>
      </c>
      <c r="H178" s="461">
        <v>0</v>
      </c>
      <c r="I178" s="461">
        <v>2</v>
      </c>
      <c r="J178" s="461">
        <v>0</v>
      </c>
      <c r="K178" s="426">
        <f t="shared" si="21"/>
        <v>39</v>
      </c>
      <c r="L178" s="461">
        <v>6</v>
      </c>
      <c r="M178" s="461">
        <v>0</v>
      </c>
      <c r="N178" s="442">
        <f t="shared" si="22"/>
        <v>45</v>
      </c>
      <c r="O178" s="17">
        <f>+O177*55</f>
        <v>77.81481481481481</v>
      </c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</row>
    <row r="179" spans="1:49" x14ac:dyDescent="0.15">
      <c r="A179" s="458" t="s">
        <v>511</v>
      </c>
      <c r="B179" s="455">
        <v>15</v>
      </c>
      <c r="C179" s="461">
        <v>18</v>
      </c>
      <c r="D179" s="461">
        <v>1</v>
      </c>
      <c r="E179" s="461">
        <v>1</v>
      </c>
      <c r="F179" s="461">
        <v>0</v>
      </c>
      <c r="G179" s="461">
        <v>0</v>
      </c>
      <c r="H179" s="461">
        <v>0</v>
      </c>
      <c r="I179" s="461">
        <v>0</v>
      </c>
      <c r="J179" s="461">
        <v>0</v>
      </c>
      <c r="K179" s="426">
        <f t="shared" si="21"/>
        <v>16</v>
      </c>
      <c r="L179" s="461">
        <v>6</v>
      </c>
      <c r="M179" s="461">
        <v>0</v>
      </c>
      <c r="N179" s="442">
        <f t="shared" si="22"/>
        <v>22</v>
      </c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</row>
    <row r="180" spans="1:49" x14ac:dyDescent="0.15">
      <c r="A180" s="452" t="s">
        <v>941</v>
      </c>
      <c r="B180" s="455"/>
      <c r="C180" s="461"/>
      <c r="D180" s="461"/>
      <c r="E180" s="461"/>
      <c r="F180" s="461"/>
      <c r="G180" s="461"/>
      <c r="H180" s="461"/>
      <c r="I180" s="461"/>
      <c r="J180" s="461"/>
      <c r="K180" s="426"/>
      <c r="L180" s="461"/>
      <c r="M180" s="461"/>
      <c r="N180" s="442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</row>
    <row r="181" spans="1:49" ht="14" thickBot="1" x14ac:dyDescent="0.2">
      <c r="A181" s="957" t="s">
        <v>942</v>
      </c>
      <c r="B181" s="455">
        <v>728</v>
      </c>
      <c r="C181" s="455">
        <v>894</v>
      </c>
      <c r="D181" s="455">
        <v>35</v>
      </c>
      <c r="E181" s="455">
        <v>31</v>
      </c>
      <c r="F181" s="455">
        <v>1</v>
      </c>
      <c r="G181" s="455">
        <v>1</v>
      </c>
      <c r="H181" s="455">
        <v>9</v>
      </c>
      <c r="I181" s="455">
        <v>7</v>
      </c>
      <c r="J181" s="455">
        <v>4</v>
      </c>
      <c r="K181" s="426">
        <f t="shared" si="21"/>
        <v>784</v>
      </c>
      <c r="L181" s="455">
        <v>59</v>
      </c>
      <c r="M181" s="455">
        <v>0</v>
      </c>
      <c r="N181" s="442">
        <f t="shared" si="22"/>
        <v>843</v>
      </c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</row>
    <row r="182" spans="1:49" ht="14" thickBot="1" x14ac:dyDescent="0.2">
      <c r="A182" s="54" t="s">
        <v>68</v>
      </c>
      <c r="B182" s="809">
        <f t="shared" ref="B182:N182" si="23">SUM(B170:B181)</f>
        <v>1003</v>
      </c>
      <c r="C182" s="809">
        <f t="shared" si="23"/>
        <v>1204</v>
      </c>
      <c r="D182" s="809">
        <f t="shared" si="23"/>
        <v>50</v>
      </c>
      <c r="E182" s="809">
        <f t="shared" si="23"/>
        <v>50</v>
      </c>
      <c r="F182" s="809">
        <f t="shared" si="23"/>
        <v>13</v>
      </c>
      <c r="G182" s="809">
        <f t="shared" si="23"/>
        <v>14</v>
      </c>
      <c r="H182" s="809">
        <f t="shared" si="23"/>
        <v>10</v>
      </c>
      <c r="I182" s="809">
        <f t="shared" si="23"/>
        <v>16</v>
      </c>
      <c r="J182" s="809">
        <f t="shared" si="23"/>
        <v>4</v>
      </c>
      <c r="K182" s="225">
        <f t="shared" si="23"/>
        <v>1096</v>
      </c>
      <c r="L182" s="809">
        <f t="shared" si="23"/>
        <v>116</v>
      </c>
      <c r="M182" s="809">
        <f t="shared" si="23"/>
        <v>0</v>
      </c>
      <c r="N182" s="226">
        <f t="shared" si="23"/>
        <v>1212</v>
      </c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</row>
    <row r="183" spans="1:49" ht="14" thickBot="1" x14ac:dyDescent="0.2">
      <c r="A183" s="259" t="s">
        <v>115</v>
      </c>
      <c r="B183" s="459"/>
      <c r="C183" s="547">
        <f>+C182/B182</f>
        <v>1.2003988035892323</v>
      </c>
      <c r="D183" s="548"/>
      <c r="E183" s="547">
        <f>+E182/D182</f>
        <v>1</v>
      </c>
      <c r="F183" s="548"/>
      <c r="G183" s="547">
        <f>+G182/F182</f>
        <v>1.0769230769230769</v>
      </c>
      <c r="H183" s="459"/>
      <c r="I183" s="459"/>
      <c r="J183" s="459"/>
      <c r="K183" s="459"/>
      <c r="L183" s="459"/>
      <c r="M183" s="459"/>
      <c r="N183" s="460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</row>
    <row r="184" spans="1:49" ht="14" thickBot="1" x14ac:dyDescent="0.2">
      <c r="A184" s="543" t="s">
        <v>670</v>
      </c>
      <c r="B184" s="279">
        <f>+B182/K182</f>
        <v>0.91514598540145986</v>
      </c>
      <c r="C184" s="282"/>
      <c r="D184" s="279">
        <f>+D182/K182</f>
        <v>4.5620437956204379E-2</v>
      </c>
      <c r="E184" s="282"/>
      <c r="F184" s="279">
        <f>+F182/K182</f>
        <v>1.1861313868613138E-2</v>
      </c>
      <c r="G184" s="282"/>
      <c r="H184" s="279">
        <f>+H182/K182</f>
        <v>9.1240875912408752E-3</v>
      </c>
      <c r="I184" s="279">
        <f>+I182/K182</f>
        <v>1.4598540145985401E-2</v>
      </c>
      <c r="J184" s="279">
        <f>+J182/K182</f>
        <v>3.6496350364963502E-3</v>
      </c>
      <c r="K184" s="279">
        <f>SUM(B184:J184)</f>
        <v>1</v>
      </c>
      <c r="L184" s="282"/>
      <c r="M184" s="282"/>
      <c r="N184" s="283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</row>
    <row r="185" spans="1:49" ht="14" thickBot="1" x14ac:dyDescent="0.2">
      <c r="A185" s="543" t="s">
        <v>114</v>
      </c>
      <c r="B185" s="549">
        <f>+B182/N182</f>
        <v>0.82755775577557755</v>
      </c>
      <c r="C185" s="549"/>
      <c r="D185" s="549">
        <f>+D182/N182</f>
        <v>4.1254125412541254E-2</v>
      </c>
      <c r="E185" s="549" t="s">
        <v>18</v>
      </c>
      <c r="F185" s="549">
        <f>+F182/N182</f>
        <v>1.0726072607260726E-2</v>
      </c>
      <c r="G185" s="549"/>
      <c r="H185" s="549">
        <f>+H182/N182</f>
        <v>8.2508250825082501E-3</v>
      </c>
      <c r="I185" s="549">
        <f>+I182/N182</f>
        <v>1.3201320132013201E-2</v>
      </c>
      <c r="J185" s="549">
        <f>+J182/N182</f>
        <v>3.3003300330033004E-3</v>
      </c>
      <c r="K185" s="549">
        <f>SUM(B185:J185)</f>
        <v>0.90429042904290446</v>
      </c>
      <c r="L185" s="549">
        <f>+L182/N182</f>
        <v>9.5709570957095716E-2</v>
      </c>
      <c r="M185" s="549">
        <f>+M182/N182</f>
        <v>0</v>
      </c>
      <c r="N185" s="550">
        <f>+K185+L185+M185</f>
        <v>1.0000000000000002</v>
      </c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</row>
    <row r="186" spans="1:49" ht="14" thickBot="1" x14ac:dyDescent="0.2">
      <c r="A186" s="429" t="s">
        <v>18</v>
      </c>
      <c r="B186" s="430" t="s">
        <v>18</v>
      </c>
      <c r="C186" s="430"/>
      <c r="D186" s="430"/>
      <c r="E186" s="430" t="s">
        <v>18</v>
      </c>
      <c r="F186" s="430"/>
      <c r="G186" s="430" t="s">
        <v>18</v>
      </c>
      <c r="H186" s="430"/>
      <c r="I186" s="430"/>
      <c r="J186" s="430"/>
      <c r="K186" s="430"/>
      <c r="L186" s="430"/>
      <c r="M186" s="430"/>
      <c r="N186" s="430"/>
      <c r="O186" s="430"/>
      <c r="P186" s="430"/>
      <c r="Q186" s="430"/>
      <c r="R186" s="430"/>
      <c r="S186" s="430"/>
      <c r="T186" s="430"/>
      <c r="U186" s="430"/>
      <c r="V186" s="430"/>
      <c r="W186" s="430"/>
      <c r="X186" s="430"/>
      <c r="Y186" s="430"/>
      <c r="Z186" s="430"/>
      <c r="AA186" s="430"/>
      <c r="AB186" s="945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</row>
    <row r="187" spans="1:49" x14ac:dyDescent="0.15">
      <c r="A187" s="454"/>
      <c r="B187" s="454"/>
      <c r="C187" s="454"/>
      <c r="D187" s="454"/>
      <c r="E187" s="454"/>
      <c r="F187" s="454"/>
      <c r="G187" s="454"/>
      <c r="H187" s="454"/>
      <c r="I187" s="454"/>
      <c r="J187" s="454"/>
      <c r="K187" s="454"/>
      <c r="L187" s="454"/>
      <c r="M187" s="454"/>
      <c r="N187" s="454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</row>
    <row r="188" spans="1:49" x14ac:dyDescent="0.15">
      <c r="A188" s="454"/>
      <c r="B188" s="454"/>
      <c r="C188" s="454"/>
      <c r="D188" s="454"/>
      <c r="E188" s="454"/>
      <c r="F188" s="454"/>
      <c r="G188" s="454"/>
      <c r="H188" s="454"/>
      <c r="I188" s="454"/>
      <c r="J188" s="454"/>
      <c r="K188" s="454"/>
      <c r="L188" s="454"/>
      <c r="M188" s="454"/>
      <c r="N188" s="454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</row>
    <row r="189" spans="1:49" x14ac:dyDescent="0.15">
      <c r="A189" s="454"/>
      <c r="B189" s="454"/>
      <c r="C189" s="454"/>
      <c r="D189" s="454"/>
      <c r="E189" s="454"/>
      <c r="F189" s="454"/>
      <c r="G189" s="454"/>
      <c r="H189" s="454"/>
      <c r="I189" s="454"/>
      <c r="J189" s="454"/>
      <c r="K189" s="454"/>
      <c r="L189" s="454"/>
      <c r="M189" s="454"/>
      <c r="N189" s="454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</row>
    <row r="190" spans="1:49" x14ac:dyDescent="0.15">
      <c r="A190" s="454"/>
      <c r="B190" s="454"/>
      <c r="C190" s="454"/>
      <c r="D190" s="454"/>
      <c r="E190" s="454"/>
      <c r="F190" s="454"/>
      <c r="G190" s="454"/>
      <c r="H190" s="454"/>
      <c r="I190" s="454"/>
      <c r="J190" s="454"/>
      <c r="K190" s="454"/>
      <c r="L190" s="454"/>
      <c r="M190" s="454"/>
      <c r="N190" s="454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</row>
    <row r="191" spans="1:49" x14ac:dyDescent="0.15">
      <c r="A191" s="454"/>
      <c r="B191" s="454"/>
      <c r="C191" s="454"/>
      <c r="D191" s="454"/>
      <c r="E191" s="454"/>
      <c r="F191" s="454"/>
      <c r="G191" s="454"/>
      <c r="H191" s="454"/>
      <c r="I191" s="454"/>
      <c r="J191" s="454"/>
      <c r="K191" s="454"/>
      <c r="L191" s="454"/>
      <c r="M191" s="454"/>
      <c r="N191" s="454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</row>
    <row r="192" spans="1:49" x14ac:dyDescent="0.15">
      <c r="A192" s="454"/>
      <c r="B192" s="454"/>
      <c r="C192" s="454"/>
      <c r="D192" s="454"/>
      <c r="E192" s="454"/>
      <c r="F192" s="454"/>
      <c r="G192" s="454"/>
      <c r="H192" s="454"/>
      <c r="I192" s="454"/>
      <c r="J192" s="454"/>
      <c r="K192" s="454"/>
      <c r="L192" s="454"/>
      <c r="M192" s="454"/>
      <c r="N192" s="454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  <c r="AV192" s="17"/>
      <c r="AW192" s="17"/>
    </row>
    <row r="193" spans="1:49" x14ac:dyDescent="0.15">
      <c r="A193" s="454"/>
      <c r="B193" s="454"/>
      <c r="C193" s="454"/>
      <c r="D193" s="454"/>
      <c r="E193" s="454"/>
      <c r="F193" s="454"/>
      <c r="G193" s="454"/>
      <c r="H193" s="454"/>
      <c r="I193" s="454"/>
      <c r="J193" s="454"/>
      <c r="K193" s="454"/>
      <c r="L193" s="454"/>
      <c r="M193" s="454"/>
      <c r="N193" s="454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</row>
    <row r="194" spans="1:49" x14ac:dyDescent="0.15">
      <c r="A194" s="454"/>
      <c r="B194" s="454"/>
      <c r="C194" s="454"/>
      <c r="D194" s="454"/>
      <c r="E194" s="454" t="s">
        <v>18</v>
      </c>
      <c r="F194" s="454"/>
      <c r="G194" s="454"/>
      <c r="H194" s="454"/>
      <c r="I194" s="454"/>
      <c r="J194" s="454"/>
      <c r="K194" s="454"/>
      <c r="L194" s="454"/>
      <c r="M194" s="454"/>
      <c r="N194" s="454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</row>
    <row r="195" spans="1:49" x14ac:dyDescent="0.1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</row>
    <row r="196" spans="1:49" x14ac:dyDescent="0.1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</row>
    <row r="197" spans="1:49" x14ac:dyDescent="0.15">
      <c r="F197" s="2" t="s">
        <v>18</v>
      </c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</row>
    <row r="198" spans="1:49" x14ac:dyDescent="0.15"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</row>
    <row r="199" spans="1:49" x14ac:dyDescent="0.15"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</row>
  </sheetData>
  <phoneticPr fontId="5" type="noConversion"/>
  <pageMargins left="0.75" right="0.75" top="1" bottom="1" header="0.5" footer="0.5"/>
  <pageSetup orientation="portrait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185"/>
  <sheetViews>
    <sheetView tabSelected="1" workbookViewId="0">
      <selection activeCell="U110" sqref="U110"/>
    </sheetView>
  </sheetViews>
  <sheetFormatPr baseColWidth="10" defaultColWidth="8.83203125" defaultRowHeight="13" x14ac:dyDescent="0.15"/>
  <cols>
    <col min="2" max="2" width="12.33203125" bestFit="1" customWidth="1"/>
    <col min="3" max="3" width="11.1640625" bestFit="1" customWidth="1"/>
  </cols>
  <sheetData>
    <row r="1" spans="1:23" ht="16" x14ac:dyDescent="0.2">
      <c r="A1" s="528" t="s">
        <v>613</v>
      </c>
      <c r="B1" s="529"/>
      <c r="C1" s="529"/>
      <c r="D1" s="529"/>
    </row>
    <row r="2" spans="1:23" x14ac:dyDescent="0.15">
      <c r="A2" s="1"/>
    </row>
    <row r="3" spans="1:23" x14ac:dyDescent="0.15">
      <c r="A3" s="1" t="s">
        <v>596</v>
      </c>
      <c r="B3" s="305" t="s">
        <v>595</v>
      </c>
      <c r="C3" s="530" t="s">
        <v>401</v>
      </c>
      <c r="D3" s="530" t="s">
        <v>597</v>
      </c>
      <c r="E3" s="530" t="s">
        <v>598</v>
      </c>
      <c r="F3" s="530" t="s">
        <v>607</v>
      </c>
      <c r="G3" s="530" t="s">
        <v>606</v>
      </c>
      <c r="H3" s="530" t="s">
        <v>599</v>
      </c>
      <c r="I3" s="530" t="s">
        <v>600</v>
      </c>
      <c r="J3" s="530" t="s">
        <v>602</v>
      </c>
      <c r="K3" s="530" t="s">
        <v>601</v>
      </c>
      <c r="L3" s="530" t="s">
        <v>603</v>
      </c>
      <c r="M3" s="530" t="s">
        <v>604</v>
      </c>
      <c r="N3" s="530" t="s">
        <v>608</v>
      </c>
      <c r="O3" s="530" t="s">
        <v>609</v>
      </c>
      <c r="P3" s="530" t="s">
        <v>605</v>
      </c>
      <c r="Q3" s="530" t="s">
        <v>623</v>
      </c>
      <c r="R3" s="530"/>
      <c r="S3" s="530"/>
      <c r="T3" s="530"/>
      <c r="U3" s="530"/>
    </row>
    <row r="4" spans="1:23" x14ac:dyDescent="0.15">
      <c r="A4" s="1"/>
      <c r="B4" s="305" t="s">
        <v>610</v>
      </c>
      <c r="C4" s="530" t="s">
        <v>611</v>
      </c>
      <c r="D4" s="530"/>
      <c r="E4" s="530" t="s">
        <v>646</v>
      </c>
      <c r="F4" s="530"/>
      <c r="G4" s="530"/>
      <c r="H4" s="530" t="s">
        <v>612</v>
      </c>
      <c r="I4" s="530"/>
      <c r="J4" s="530"/>
      <c r="K4" s="530" t="s">
        <v>643</v>
      </c>
      <c r="L4" s="530"/>
      <c r="M4" s="530"/>
      <c r="N4" s="530" t="s">
        <v>645</v>
      </c>
      <c r="O4" s="530"/>
      <c r="P4" s="530" t="s">
        <v>644</v>
      </c>
      <c r="Q4" s="530"/>
    </row>
    <row r="5" spans="1:23" x14ac:dyDescent="0.15">
      <c r="A5" s="496"/>
      <c r="B5" s="497"/>
      <c r="C5" s="494"/>
      <c r="D5" s="495"/>
      <c r="E5" s="495" t="s">
        <v>18</v>
      </c>
      <c r="F5" s="494"/>
      <c r="G5" s="495"/>
      <c r="H5" s="494"/>
      <c r="I5" s="494"/>
      <c r="J5" s="494"/>
      <c r="K5" s="494"/>
      <c r="L5" s="494"/>
      <c r="M5" s="494"/>
      <c r="N5" s="494"/>
    </row>
    <row r="6" spans="1:23" ht="14" thickBot="1" x14ac:dyDescent="0.2">
      <c r="A6" s="498" t="s">
        <v>399</v>
      </c>
      <c r="B6" s="490"/>
      <c r="C6" s="498" t="s">
        <v>429</v>
      </c>
      <c r="E6" s="492"/>
      <c r="F6" s="491"/>
      <c r="G6" s="490"/>
      <c r="H6" s="490"/>
      <c r="I6" s="490"/>
      <c r="J6" s="490"/>
      <c r="K6" s="490"/>
      <c r="L6" s="490"/>
      <c r="N6" s="491"/>
    </row>
    <row r="7" spans="1:23" x14ac:dyDescent="0.15">
      <c r="A7" s="48" t="s">
        <v>614</v>
      </c>
      <c r="B7" s="32" t="s">
        <v>624</v>
      </c>
      <c r="C7" s="49" t="s">
        <v>404</v>
      </c>
      <c r="D7" s="49" t="s">
        <v>400</v>
      </c>
      <c r="E7" s="49" t="s">
        <v>405</v>
      </c>
      <c r="F7" s="49" t="s">
        <v>404</v>
      </c>
      <c r="G7" s="49" t="s">
        <v>405</v>
      </c>
      <c r="H7" s="49" t="s">
        <v>404</v>
      </c>
      <c r="I7" s="49" t="s">
        <v>400</v>
      </c>
      <c r="J7" s="49" t="s">
        <v>405</v>
      </c>
      <c r="K7" s="49" t="s">
        <v>404</v>
      </c>
      <c r="L7" s="49" t="s">
        <v>400</v>
      </c>
      <c r="M7" s="49" t="s">
        <v>400</v>
      </c>
      <c r="N7" s="51" t="s">
        <v>405</v>
      </c>
      <c r="P7" s="49" t="s">
        <v>404</v>
      </c>
      <c r="Q7" s="49" t="s">
        <v>400</v>
      </c>
      <c r="R7" s="49" t="s">
        <v>405</v>
      </c>
      <c r="U7" s="49" t="s">
        <v>404</v>
      </c>
      <c r="V7" s="49" t="s">
        <v>400</v>
      </c>
      <c r="W7" s="49" t="s">
        <v>405</v>
      </c>
    </row>
    <row r="8" spans="1:23" ht="14" thickBot="1" x14ac:dyDescent="0.2">
      <c r="A8" s="493" t="s">
        <v>28</v>
      </c>
      <c r="B8" s="34"/>
      <c r="C8" s="33">
        <v>1</v>
      </c>
      <c r="D8" s="33">
        <v>2</v>
      </c>
      <c r="E8" s="33">
        <v>3</v>
      </c>
      <c r="F8" s="33">
        <v>4</v>
      </c>
      <c r="G8" s="33">
        <v>5</v>
      </c>
      <c r="H8" s="33">
        <v>6</v>
      </c>
      <c r="I8" s="33">
        <v>7</v>
      </c>
      <c r="J8" s="33">
        <v>8</v>
      </c>
      <c r="K8" s="33">
        <v>9</v>
      </c>
      <c r="L8" s="33">
        <v>10</v>
      </c>
      <c r="M8" s="33">
        <v>11</v>
      </c>
      <c r="N8" s="152">
        <v>12</v>
      </c>
      <c r="O8" s="780" t="s">
        <v>405</v>
      </c>
      <c r="P8">
        <f>+C45+F45+H45+K45</f>
        <v>313</v>
      </c>
      <c r="Q8">
        <f>+D45+I45+L45+M45</f>
        <v>423.25</v>
      </c>
      <c r="R8">
        <f>+E45+G45+J45+N35</f>
        <v>237.75</v>
      </c>
      <c r="T8" s="1" t="s">
        <v>1028</v>
      </c>
      <c r="U8" s="1046">
        <v>2.1736111111111112</v>
      </c>
      <c r="V8" s="1046">
        <v>2.9392361111111112</v>
      </c>
      <c r="W8" s="1046">
        <v>1.6510416666666667</v>
      </c>
    </row>
    <row r="9" spans="1:23" x14ac:dyDescent="0.15">
      <c r="A9" s="2">
        <v>1</v>
      </c>
      <c r="B9" s="2" t="s">
        <v>400</v>
      </c>
      <c r="C9">
        <v>2</v>
      </c>
      <c r="D9">
        <v>3</v>
      </c>
      <c r="E9">
        <v>3</v>
      </c>
      <c r="F9">
        <v>3</v>
      </c>
      <c r="G9">
        <v>3.25</v>
      </c>
      <c r="H9">
        <v>1</v>
      </c>
      <c r="I9">
        <v>3</v>
      </c>
      <c r="J9">
        <v>3.25</v>
      </c>
      <c r="K9">
        <v>2.75</v>
      </c>
      <c r="L9">
        <v>3</v>
      </c>
      <c r="M9">
        <v>3</v>
      </c>
      <c r="N9">
        <v>2.75</v>
      </c>
      <c r="O9" s="860"/>
      <c r="P9" s="1045">
        <f>+P8/144</f>
        <v>2.1736111111111112</v>
      </c>
      <c r="Q9" s="1045">
        <f t="shared" ref="Q9:R9" si="0">+Q8/144</f>
        <v>2.9392361111111112</v>
      </c>
      <c r="R9" s="1045">
        <f t="shared" si="0"/>
        <v>1.6510416666666667</v>
      </c>
      <c r="T9" s="1" t="s">
        <v>1029</v>
      </c>
      <c r="U9" s="1046">
        <v>1.8669354838709677</v>
      </c>
      <c r="V9" s="1046">
        <v>2.6693548387096775</v>
      </c>
      <c r="W9" s="1046">
        <v>1.9375</v>
      </c>
    </row>
    <row r="10" spans="1:23" x14ac:dyDescent="0.15">
      <c r="A10" s="2">
        <v>2</v>
      </c>
      <c r="B10" s="2" t="s">
        <v>400</v>
      </c>
      <c r="C10">
        <v>3</v>
      </c>
      <c r="D10">
        <v>3</v>
      </c>
      <c r="E10">
        <v>3</v>
      </c>
      <c r="F10">
        <v>4</v>
      </c>
      <c r="G10">
        <v>4</v>
      </c>
      <c r="H10">
        <v>2</v>
      </c>
      <c r="I10">
        <v>3</v>
      </c>
      <c r="J10">
        <v>4</v>
      </c>
      <c r="K10">
        <v>2</v>
      </c>
      <c r="L10">
        <v>3</v>
      </c>
      <c r="M10">
        <v>4</v>
      </c>
      <c r="N10">
        <v>3</v>
      </c>
      <c r="O10" s="860" t="s">
        <v>404</v>
      </c>
      <c r="P10">
        <f>+C81+F81+H81+K81</f>
        <v>231.5</v>
      </c>
      <c r="Q10">
        <f>+D81+I81+L81+M81</f>
        <v>331</v>
      </c>
      <c r="R10">
        <f>+E81+G81+J81+N81</f>
        <v>240.25</v>
      </c>
      <c r="S10" s="859" t="s">
        <v>18</v>
      </c>
      <c r="T10" s="1" t="s">
        <v>1030</v>
      </c>
      <c r="U10" s="1046">
        <v>2.2250000000000001</v>
      </c>
      <c r="V10" s="1046">
        <v>3.1124999999999998</v>
      </c>
      <c r="W10" s="1046">
        <v>1.7250000000000001</v>
      </c>
    </row>
    <row r="11" spans="1:23" x14ac:dyDescent="0.15">
      <c r="A11" s="2">
        <v>3</v>
      </c>
      <c r="B11" s="2" t="s">
        <v>400</v>
      </c>
      <c r="C11">
        <v>4</v>
      </c>
      <c r="D11">
        <v>2</v>
      </c>
      <c r="E11">
        <v>3</v>
      </c>
      <c r="F11">
        <v>3</v>
      </c>
      <c r="G11">
        <v>3</v>
      </c>
      <c r="H11">
        <v>2</v>
      </c>
      <c r="I11">
        <v>3</v>
      </c>
      <c r="J11">
        <v>4</v>
      </c>
      <c r="K11">
        <v>1</v>
      </c>
      <c r="L11">
        <v>4</v>
      </c>
      <c r="M11">
        <v>3</v>
      </c>
      <c r="N11">
        <v>1</v>
      </c>
      <c r="O11" s="860"/>
      <c r="P11" s="1045">
        <f>+P10/124</f>
        <v>1.8669354838709677</v>
      </c>
      <c r="Q11" s="1045">
        <f>+Q10/124</f>
        <v>2.6693548387096775</v>
      </c>
      <c r="R11" s="1045">
        <f>+R10/124</f>
        <v>1.9375</v>
      </c>
    </row>
    <row r="12" spans="1:23" x14ac:dyDescent="0.15">
      <c r="A12" s="2">
        <v>4</v>
      </c>
      <c r="B12" s="2" t="s">
        <v>400</v>
      </c>
      <c r="C12">
        <v>1</v>
      </c>
      <c r="D12">
        <v>2</v>
      </c>
      <c r="E12">
        <v>2</v>
      </c>
      <c r="F12">
        <v>2</v>
      </c>
      <c r="G12">
        <v>3</v>
      </c>
      <c r="H12">
        <v>2</v>
      </c>
      <c r="I12">
        <v>2</v>
      </c>
      <c r="J12">
        <v>3</v>
      </c>
      <c r="K12">
        <v>1</v>
      </c>
      <c r="L12">
        <v>2</v>
      </c>
      <c r="M12">
        <v>2</v>
      </c>
      <c r="N12">
        <v>1</v>
      </c>
      <c r="O12" s="860" t="s">
        <v>405</v>
      </c>
      <c r="P12">
        <f>+C96+F96+H96+K96</f>
        <v>89</v>
      </c>
      <c r="Q12">
        <f>+D96+I96+L96+M96</f>
        <v>124.5</v>
      </c>
      <c r="R12">
        <f>+E96+G96+J96+N96</f>
        <v>69</v>
      </c>
    </row>
    <row r="13" spans="1:23" x14ac:dyDescent="0.15">
      <c r="A13" s="2">
        <v>5</v>
      </c>
      <c r="B13" s="2" t="s">
        <v>400</v>
      </c>
      <c r="C13">
        <v>2</v>
      </c>
      <c r="D13">
        <v>3</v>
      </c>
      <c r="E13">
        <v>3</v>
      </c>
      <c r="F13">
        <v>4</v>
      </c>
      <c r="G13">
        <v>4</v>
      </c>
      <c r="H13">
        <v>2</v>
      </c>
      <c r="I13">
        <v>3</v>
      </c>
      <c r="J13">
        <v>4</v>
      </c>
      <c r="K13">
        <v>3</v>
      </c>
      <c r="L13">
        <v>2</v>
      </c>
      <c r="M13">
        <v>4</v>
      </c>
      <c r="N13">
        <v>4</v>
      </c>
      <c r="P13" s="1045">
        <f>+P12/40</f>
        <v>2.2250000000000001</v>
      </c>
      <c r="Q13" s="1045">
        <f>+Q12/40</f>
        <v>3.1124999999999998</v>
      </c>
      <c r="R13" s="1045">
        <f>+R12/40</f>
        <v>1.7250000000000001</v>
      </c>
    </row>
    <row r="14" spans="1:23" x14ac:dyDescent="0.15">
      <c r="A14" s="2">
        <v>6</v>
      </c>
      <c r="B14" s="2" t="s">
        <v>400</v>
      </c>
      <c r="C14">
        <v>2</v>
      </c>
      <c r="D14">
        <v>3</v>
      </c>
      <c r="E14">
        <v>4</v>
      </c>
      <c r="F14">
        <v>3</v>
      </c>
      <c r="G14">
        <v>4</v>
      </c>
      <c r="H14">
        <v>2</v>
      </c>
      <c r="I14">
        <v>2</v>
      </c>
      <c r="J14">
        <v>3</v>
      </c>
      <c r="K14">
        <v>1</v>
      </c>
      <c r="L14">
        <v>3</v>
      </c>
      <c r="M14">
        <v>4</v>
      </c>
      <c r="N14">
        <v>1</v>
      </c>
    </row>
    <row r="15" spans="1:23" x14ac:dyDescent="0.15">
      <c r="A15" s="2">
        <v>7</v>
      </c>
      <c r="B15" s="2" t="s">
        <v>400</v>
      </c>
      <c r="C15">
        <v>2</v>
      </c>
      <c r="D15">
        <v>3</v>
      </c>
      <c r="E15">
        <v>3</v>
      </c>
      <c r="F15">
        <v>2</v>
      </c>
      <c r="G15">
        <v>4</v>
      </c>
      <c r="H15">
        <v>0</v>
      </c>
      <c r="I15">
        <v>1</v>
      </c>
      <c r="J15">
        <v>4</v>
      </c>
      <c r="K15">
        <v>1</v>
      </c>
      <c r="L15">
        <v>2</v>
      </c>
      <c r="M15">
        <v>3</v>
      </c>
      <c r="N15">
        <v>4</v>
      </c>
      <c r="S15" s="859" t="s">
        <v>18</v>
      </c>
    </row>
    <row r="16" spans="1:23" x14ac:dyDescent="0.15">
      <c r="A16" s="2">
        <v>8</v>
      </c>
      <c r="B16" s="2" t="s">
        <v>400</v>
      </c>
      <c r="C16">
        <v>2</v>
      </c>
      <c r="D16">
        <v>3</v>
      </c>
      <c r="E16">
        <v>3</v>
      </c>
      <c r="F16">
        <v>2</v>
      </c>
      <c r="G16">
        <v>3</v>
      </c>
      <c r="H16">
        <v>2</v>
      </c>
      <c r="I16">
        <v>3</v>
      </c>
      <c r="J16">
        <v>4</v>
      </c>
      <c r="K16">
        <v>2</v>
      </c>
      <c r="L16">
        <v>3</v>
      </c>
      <c r="M16">
        <v>4</v>
      </c>
      <c r="N16">
        <v>1</v>
      </c>
      <c r="P16" s="859" t="s">
        <v>18</v>
      </c>
      <c r="Q16" s="1044" t="s">
        <v>18</v>
      </c>
      <c r="T16" s="859" t="s">
        <v>18</v>
      </c>
    </row>
    <row r="17" spans="1:23" x14ac:dyDescent="0.15">
      <c r="A17" s="2">
        <v>9</v>
      </c>
      <c r="B17" s="2" t="s">
        <v>400</v>
      </c>
      <c r="C17">
        <v>2</v>
      </c>
      <c r="D17">
        <v>3</v>
      </c>
      <c r="E17">
        <v>2</v>
      </c>
      <c r="F17">
        <v>2</v>
      </c>
      <c r="G17">
        <v>0</v>
      </c>
      <c r="H17">
        <v>1</v>
      </c>
      <c r="I17">
        <v>3</v>
      </c>
      <c r="J17">
        <v>0</v>
      </c>
      <c r="K17">
        <v>1</v>
      </c>
      <c r="L17">
        <v>3</v>
      </c>
      <c r="M17">
        <v>3</v>
      </c>
      <c r="N17">
        <v>1</v>
      </c>
      <c r="O17" t="s">
        <v>18</v>
      </c>
      <c r="Q17" s="859" t="s">
        <v>18</v>
      </c>
    </row>
    <row r="18" spans="1:23" x14ac:dyDescent="0.15">
      <c r="A18" s="2">
        <v>10</v>
      </c>
      <c r="B18" s="2" t="s">
        <v>400</v>
      </c>
      <c r="C18">
        <v>2</v>
      </c>
      <c r="D18">
        <v>3</v>
      </c>
      <c r="E18">
        <v>3</v>
      </c>
      <c r="F18">
        <v>3</v>
      </c>
      <c r="G18">
        <v>1</v>
      </c>
      <c r="H18">
        <v>2</v>
      </c>
      <c r="I18">
        <v>3</v>
      </c>
      <c r="J18">
        <v>0</v>
      </c>
      <c r="K18">
        <v>2</v>
      </c>
      <c r="L18">
        <v>3</v>
      </c>
      <c r="M18">
        <v>3</v>
      </c>
      <c r="N18">
        <v>0</v>
      </c>
      <c r="Q18" s="1044" t="s">
        <v>18</v>
      </c>
    </row>
    <row r="19" spans="1:23" x14ac:dyDescent="0.15">
      <c r="A19" s="2">
        <v>11</v>
      </c>
      <c r="B19" s="2" t="s">
        <v>400</v>
      </c>
      <c r="C19">
        <v>2</v>
      </c>
      <c r="D19">
        <v>4</v>
      </c>
      <c r="E19">
        <v>3</v>
      </c>
      <c r="F19">
        <v>3</v>
      </c>
      <c r="G19">
        <v>0</v>
      </c>
      <c r="H19">
        <v>3</v>
      </c>
      <c r="I19">
        <v>3</v>
      </c>
      <c r="J19">
        <v>3</v>
      </c>
      <c r="K19">
        <v>2</v>
      </c>
      <c r="L19">
        <v>4</v>
      </c>
      <c r="M19">
        <v>3</v>
      </c>
      <c r="N19">
        <v>0</v>
      </c>
      <c r="O19" t="s">
        <v>18</v>
      </c>
    </row>
    <row r="20" spans="1:23" x14ac:dyDescent="0.15">
      <c r="A20" s="2">
        <v>12</v>
      </c>
      <c r="B20" s="2" t="s">
        <v>400</v>
      </c>
      <c r="C20">
        <v>1</v>
      </c>
      <c r="D20">
        <v>3</v>
      </c>
      <c r="E20">
        <v>2</v>
      </c>
      <c r="F20">
        <v>2</v>
      </c>
      <c r="G20">
        <v>0</v>
      </c>
      <c r="H20">
        <v>1</v>
      </c>
      <c r="I20">
        <v>2</v>
      </c>
      <c r="J20">
        <v>2</v>
      </c>
      <c r="K20">
        <v>1</v>
      </c>
      <c r="L20">
        <v>2</v>
      </c>
      <c r="M20">
        <v>3</v>
      </c>
      <c r="N20">
        <v>1</v>
      </c>
      <c r="T20" s="859" t="s">
        <v>18</v>
      </c>
    </row>
    <row r="21" spans="1:23" x14ac:dyDescent="0.15">
      <c r="A21" s="2">
        <v>13</v>
      </c>
      <c r="B21" s="2" t="s">
        <v>400</v>
      </c>
      <c r="C21">
        <v>3</v>
      </c>
      <c r="D21">
        <v>3</v>
      </c>
      <c r="E21">
        <v>3</v>
      </c>
      <c r="F21">
        <v>3</v>
      </c>
      <c r="G21">
        <v>2</v>
      </c>
      <c r="H21">
        <v>3</v>
      </c>
      <c r="I21">
        <v>3</v>
      </c>
      <c r="J21">
        <v>2</v>
      </c>
      <c r="K21">
        <v>2</v>
      </c>
      <c r="L21">
        <v>3</v>
      </c>
      <c r="M21">
        <v>3</v>
      </c>
      <c r="N21">
        <v>2</v>
      </c>
      <c r="S21" s="859" t="s">
        <v>18</v>
      </c>
      <c r="U21" s="859" t="s">
        <v>18</v>
      </c>
    </row>
    <row r="22" spans="1:23" x14ac:dyDescent="0.15">
      <c r="A22" s="2">
        <v>14</v>
      </c>
      <c r="B22" s="2" t="s">
        <v>400</v>
      </c>
      <c r="C22">
        <v>2</v>
      </c>
      <c r="D22">
        <v>3</v>
      </c>
      <c r="E22">
        <v>2</v>
      </c>
      <c r="F22">
        <v>2</v>
      </c>
      <c r="G22">
        <v>1</v>
      </c>
      <c r="H22">
        <v>2</v>
      </c>
      <c r="I22">
        <v>3</v>
      </c>
      <c r="J22">
        <v>3</v>
      </c>
      <c r="K22">
        <v>2</v>
      </c>
      <c r="L22">
        <v>3</v>
      </c>
      <c r="M22">
        <v>2</v>
      </c>
      <c r="N22">
        <v>3</v>
      </c>
      <c r="Q22" s="859" t="s">
        <v>18</v>
      </c>
      <c r="T22" s="859" t="s">
        <v>18</v>
      </c>
    </row>
    <row r="23" spans="1:23" x14ac:dyDescent="0.15">
      <c r="A23" s="2">
        <v>15</v>
      </c>
      <c r="B23" s="2" t="s">
        <v>400</v>
      </c>
      <c r="C23">
        <v>0</v>
      </c>
      <c r="D23">
        <v>2</v>
      </c>
      <c r="E23">
        <v>1</v>
      </c>
      <c r="F23">
        <v>1</v>
      </c>
      <c r="G23">
        <v>1</v>
      </c>
      <c r="H23">
        <v>0</v>
      </c>
      <c r="I23">
        <v>2</v>
      </c>
      <c r="J23">
        <v>1</v>
      </c>
      <c r="K23">
        <v>0</v>
      </c>
      <c r="L23">
        <v>3</v>
      </c>
      <c r="M23">
        <v>3</v>
      </c>
      <c r="N23">
        <v>1</v>
      </c>
      <c r="Q23" s="515"/>
    </row>
    <row r="24" spans="1:23" x14ac:dyDescent="0.15">
      <c r="A24" s="2">
        <v>16</v>
      </c>
      <c r="B24" s="2" t="s">
        <v>400</v>
      </c>
      <c r="C24">
        <v>3</v>
      </c>
      <c r="D24">
        <v>3</v>
      </c>
      <c r="E24">
        <v>4</v>
      </c>
      <c r="F24">
        <v>3</v>
      </c>
      <c r="G24">
        <v>2</v>
      </c>
      <c r="H24">
        <v>2</v>
      </c>
      <c r="I24">
        <v>4</v>
      </c>
      <c r="J24">
        <v>3</v>
      </c>
      <c r="K24">
        <v>3</v>
      </c>
      <c r="L24">
        <v>3</v>
      </c>
      <c r="M24">
        <v>4</v>
      </c>
      <c r="N24">
        <v>1</v>
      </c>
    </row>
    <row r="25" spans="1:23" x14ac:dyDescent="0.15">
      <c r="A25" s="2">
        <v>17</v>
      </c>
      <c r="B25" s="2" t="s">
        <v>400</v>
      </c>
      <c r="C25">
        <v>3</v>
      </c>
      <c r="D25">
        <v>2</v>
      </c>
      <c r="E25">
        <v>2</v>
      </c>
      <c r="F25">
        <v>4</v>
      </c>
      <c r="G25">
        <v>1</v>
      </c>
      <c r="H25">
        <v>1</v>
      </c>
      <c r="I25">
        <v>4</v>
      </c>
      <c r="J25">
        <v>2</v>
      </c>
      <c r="K25">
        <v>2</v>
      </c>
      <c r="L25">
        <v>2</v>
      </c>
      <c r="M25">
        <v>1</v>
      </c>
      <c r="N25">
        <v>2</v>
      </c>
      <c r="O25" s="859" t="s">
        <v>914</v>
      </c>
      <c r="P25" s="1046">
        <v>2.0568181818181817</v>
      </c>
      <c r="Q25" s="6">
        <v>2.8530844155844157</v>
      </c>
      <c r="R25" s="6">
        <v>1.9521103896103895</v>
      </c>
    </row>
    <row r="26" spans="1:23" x14ac:dyDescent="0.15">
      <c r="A26" s="2">
        <v>18</v>
      </c>
      <c r="B26" s="2" t="s">
        <v>400</v>
      </c>
      <c r="C26">
        <v>0</v>
      </c>
      <c r="D26">
        <v>0.5</v>
      </c>
      <c r="E26">
        <v>1</v>
      </c>
      <c r="F26">
        <v>1</v>
      </c>
      <c r="G26">
        <v>0</v>
      </c>
      <c r="H26">
        <v>1</v>
      </c>
      <c r="I26">
        <v>2</v>
      </c>
      <c r="J26">
        <v>0.5</v>
      </c>
      <c r="K26">
        <v>1</v>
      </c>
      <c r="L26">
        <v>0.5</v>
      </c>
      <c r="M26">
        <v>1</v>
      </c>
      <c r="N26">
        <v>0.5</v>
      </c>
      <c r="P26" s="2"/>
    </row>
    <row r="27" spans="1:23" x14ac:dyDescent="0.15">
      <c r="A27" s="2">
        <v>19</v>
      </c>
      <c r="B27" s="2" t="s">
        <v>400</v>
      </c>
      <c r="C27">
        <v>2</v>
      </c>
      <c r="D27">
        <v>3</v>
      </c>
      <c r="E27">
        <v>2</v>
      </c>
      <c r="F27">
        <v>3</v>
      </c>
      <c r="G27">
        <v>1</v>
      </c>
      <c r="H27">
        <v>1</v>
      </c>
      <c r="I27">
        <v>2</v>
      </c>
      <c r="J27">
        <v>0</v>
      </c>
      <c r="K27">
        <v>2</v>
      </c>
      <c r="L27">
        <v>4</v>
      </c>
      <c r="M27">
        <v>4</v>
      </c>
      <c r="N27">
        <v>1</v>
      </c>
      <c r="P27" s="2"/>
      <c r="Q27" s="515"/>
      <c r="U27" s="1" t="s">
        <v>18</v>
      </c>
    </row>
    <row r="28" spans="1:23" x14ac:dyDescent="0.15">
      <c r="A28" s="2">
        <v>20</v>
      </c>
      <c r="B28" s="2" t="s">
        <v>400</v>
      </c>
      <c r="C28">
        <v>2</v>
      </c>
      <c r="D28">
        <v>2</v>
      </c>
      <c r="E28">
        <v>2</v>
      </c>
      <c r="F28">
        <v>3</v>
      </c>
      <c r="G28">
        <v>1</v>
      </c>
      <c r="H28">
        <v>3</v>
      </c>
      <c r="I28">
        <v>2</v>
      </c>
      <c r="J28">
        <v>1</v>
      </c>
      <c r="K28">
        <v>0</v>
      </c>
      <c r="L28">
        <v>1</v>
      </c>
      <c r="M28">
        <v>1</v>
      </c>
      <c r="N28">
        <v>0</v>
      </c>
      <c r="P28" s="2"/>
      <c r="U28" s="1" t="s">
        <v>1028</v>
      </c>
      <c r="V28" s="1" t="s">
        <v>1029</v>
      </c>
      <c r="W28" s="1" t="s">
        <v>1030</v>
      </c>
    </row>
    <row r="29" spans="1:23" x14ac:dyDescent="0.15">
      <c r="A29" s="2">
        <v>21</v>
      </c>
      <c r="B29" s="2" t="s">
        <v>400</v>
      </c>
      <c r="C29">
        <v>2</v>
      </c>
      <c r="D29">
        <v>3</v>
      </c>
      <c r="E29">
        <v>2</v>
      </c>
      <c r="F29">
        <v>2</v>
      </c>
      <c r="G29">
        <v>0</v>
      </c>
      <c r="H29">
        <v>2</v>
      </c>
      <c r="I29">
        <v>2</v>
      </c>
      <c r="J29">
        <v>0</v>
      </c>
      <c r="K29">
        <v>2</v>
      </c>
      <c r="L29">
        <v>2</v>
      </c>
      <c r="M29">
        <v>2</v>
      </c>
      <c r="N29">
        <v>1</v>
      </c>
      <c r="Q29" s="515"/>
      <c r="T29" s="859" t="s">
        <v>404</v>
      </c>
      <c r="U29" s="1046">
        <v>2.1736111111111112</v>
      </c>
      <c r="V29" s="1046">
        <v>1.87</v>
      </c>
      <c r="W29" s="1046">
        <v>2.23</v>
      </c>
    </row>
    <row r="30" spans="1:23" x14ac:dyDescent="0.15">
      <c r="A30" s="2">
        <v>22</v>
      </c>
      <c r="B30" s="2" t="s">
        <v>400</v>
      </c>
      <c r="C30">
        <v>2</v>
      </c>
      <c r="D30">
        <v>3</v>
      </c>
      <c r="E30">
        <v>3</v>
      </c>
      <c r="F30">
        <v>3</v>
      </c>
      <c r="G30">
        <v>1</v>
      </c>
      <c r="H30">
        <v>2</v>
      </c>
      <c r="I30">
        <v>4</v>
      </c>
      <c r="J30">
        <v>0</v>
      </c>
      <c r="K30">
        <v>3</v>
      </c>
      <c r="L30">
        <v>2</v>
      </c>
      <c r="M30">
        <v>4</v>
      </c>
      <c r="N30">
        <v>1</v>
      </c>
      <c r="T30" s="859" t="s">
        <v>400</v>
      </c>
      <c r="U30" s="1046">
        <v>2.94</v>
      </c>
      <c r="V30" s="1046">
        <v>2.67</v>
      </c>
      <c r="W30" s="1046">
        <v>3.11</v>
      </c>
    </row>
    <row r="31" spans="1:23" x14ac:dyDescent="0.15">
      <c r="A31" s="2">
        <v>23</v>
      </c>
      <c r="B31" s="2" t="s">
        <v>400</v>
      </c>
      <c r="C31">
        <v>3</v>
      </c>
      <c r="D31">
        <v>4</v>
      </c>
      <c r="E31">
        <v>3</v>
      </c>
      <c r="F31">
        <v>3</v>
      </c>
      <c r="G31">
        <v>2</v>
      </c>
      <c r="H31">
        <v>3</v>
      </c>
      <c r="I31">
        <v>4</v>
      </c>
      <c r="J31">
        <v>2</v>
      </c>
      <c r="K31">
        <v>3</v>
      </c>
      <c r="L31">
        <v>4</v>
      </c>
      <c r="M31">
        <v>4</v>
      </c>
      <c r="N31">
        <v>2</v>
      </c>
      <c r="P31" s="2"/>
      <c r="Q31" s="515"/>
      <c r="T31" s="859" t="s">
        <v>405</v>
      </c>
      <c r="U31" s="1046">
        <v>1.65</v>
      </c>
      <c r="V31" s="1046">
        <v>1.94</v>
      </c>
      <c r="W31" s="1046">
        <v>1.73</v>
      </c>
    </row>
    <row r="32" spans="1:23" x14ac:dyDescent="0.15">
      <c r="A32" s="2">
        <v>24</v>
      </c>
      <c r="B32" s="2" t="s">
        <v>400</v>
      </c>
      <c r="C32">
        <v>2</v>
      </c>
      <c r="D32">
        <v>3</v>
      </c>
      <c r="E32">
        <v>3</v>
      </c>
      <c r="F32">
        <v>3</v>
      </c>
      <c r="G32">
        <v>3</v>
      </c>
      <c r="H32">
        <v>3</v>
      </c>
      <c r="I32">
        <v>4</v>
      </c>
      <c r="J32">
        <v>3.25</v>
      </c>
      <c r="K32">
        <v>3</v>
      </c>
      <c r="L32">
        <v>4</v>
      </c>
      <c r="M32">
        <v>3</v>
      </c>
      <c r="N32">
        <v>2</v>
      </c>
      <c r="Q32" s="515"/>
    </row>
    <row r="33" spans="1:18" x14ac:dyDescent="0.15">
      <c r="A33" s="2">
        <v>25</v>
      </c>
      <c r="B33" s="2" t="s">
        <v>400</v>
      </c>
      <c r="C33">
        <v>1</v>
      </c>
      <c r="D33">
        <v>3</v>
      </c>
      <c r="E33">
        <v>3</v>
      </c>
      <c r="F33">
        <v>2</v>
      </c>
      <c r="G33">
        <v>2</v>
      </c>
      <c r="H33">
        <v>2</v>
      </c>
      <c r="I33">
        <v>4</v>
      </c>
      <c r="J33">
        <v>1</v>
      </c>
      <c r="K33">
        <v>1</v>
      </c>
      <c r="L33">
        <v>3</v>
      </c>
      <c r="M33">
        <v>3</v>
      </c>
      <c r="N33">
        <v>1</v>
      </c>
    </row>
    <row r="34" spans="1:18" x14ac:dyDescent="0.15">
      <c r="A34" s="2">
        <v>26</v>
      </c>
      <c r="B34" s="2" t="s">
        <v>400</v>
      </c>
      <c r="C34">
        <v>3</v>
      </c>
      <c r="D34">
        <v>4</v>
      </c>
      <c r="E34">
        <v>4</v>
      </c>
      <c r="F34">
        <v>3</v>
      </c>
      <c r="G34">
        <v>1</v>
      </c>
      <c r="H34">
        <v>2</v>
      </c>
      <c r="I34">
        <v>2</v>
      </c>
      <c r="J34">
        <v>3</v>
      </c>
      <c r="K34">
        <v>2</v>
      </c>
      <c r="L34">
        <v>3</v>
      </c>
      <c r="M34">
        <v>3</v>
      </c>
      <c r="N34">
        <v>2</v>
      </c>
    </row>
    <row r="35" spans="1:18" x14ac:dyDescent="0.15">
      <c r="A35" s="2">
        <v>27</v>
      </c>
      <c r="B35" s="2" t="s">
        <v>400</v>
      </c>
      <c r="C35">
        <v>2</v>
      </c>
      <c r="D35">
        <v>4</v>
      </c>
      <c r="E35">
        <v>4</v>
      </c>
      <c r="F35">
        <v>3</v>
      </c>
      <c r="G35">
        <v>1</v>
      </c>
      <c r="H35">
        <v>3</v>
      </c>
      <c r="I35">
        <v>4</v>
      </c>
      <c r="J35">
        <v>2</v>
      </c>
      <c r="K35">
        <v>3</v>
      </c>
      <c r="L35">
        <v>4</v>
      </c>
      <c r="M35">
        <v>4</v>
      </c>
      <c r="N35">
        <v>1</v>
      </c>
      <c r="P35" t="s">
        <v>18</v>
      </c>
    </row>
    <row r="36" spans="1:18" x14ac:dyDescent="0.15">
      <c r="A36" s="2">
        <v>28</v>
      </c>
      <c r="B36" s="2" t="s">
        <v>400</v>
      </c>
      <c r="C36">
        <v>2.25</v>
      </c>
      <c r="D36">
        <v>4</v>
      </c>
      <c r="E36">
        <v>2.75</v>
      </c>
      <c r="F36">
        <v>3</v>
      </c>
      <c r="G36">
        <v>2</v>
      </c>
      <c r="H36">
        <v>3</v>
      </c>
      <c r="I36">
        <v>3.25</v>
      </c>
      <c r="J36">
        <v>2.75</v>
      </c>
      <c r="K36">
        <v>3</v>
      </c>
      <c r="L36">
        <v>4</v>
      </c>
      <c r="M36">
        <v>4</v>
      </c>
      <c r="N36">
        <v>2</v>
      </c>
    </row>
    <row r="37" spans="1:18" x14ac:dyDescent="0.15">
      <c r="A37" s="2">
        <v>29</v>
      </c>
      <c r="B37" s="2" t="s">
        <v>400</v>
      </c>
      <c r="C37">
        <v>3</v>
      </c>
      <c r="D37">
        <v>4</v>
      </c>
      <c r="E37">
        <v>3</v>
      </c>
      <c r="F37">
        <v>4</v>
      </c>
      <c r="G37">
        <v>1</v>
      </c>
      <c r="H37">
        <v>3</v>
      </c>
      <c r="I37">
        <v>2</v>
      </c>
      <c r="J37">
        <v>1</v>
      </c>
      <c r="K37">
        <v>2</v>
      </c>
      <c r="L37">
        <v>3</v>
      </c>
      <c r="M37">
        <v>4</v>
      </c>
      <c r="N37">
        <v>0</v>
      </c>
    </row>
    <row r="38" spans="1:18" x14ac:dyDescent="0.15">
      <c r="A38" s="2">
        <v>30</v>
      </c>
      <c r="B38" s="2" t="s">
        <v>400</v>
      </c>
      <c r="C38">
        <v>2</v>
      </c>
      <c r="D38">
        <v>4</v>
      </c>
      <c r="E38">
        <v>3</v>
      </c>
      <c r="F38">
        <v>3</v>
      </c>
      <c r="G38">
        <v>2</v>
      </c>
      <c r="H38">
        <v>1</v>
      </c>
      <c r="I38">
        <v>3</v>
      </c>
      <c r="J38">
        <v>1</v>
      </c>
      <c r="K38">
        <v>1</v>
      </c>
      <c r="L38">
        <v>4</v>
      </c>
      <c r="M38">
        <v>3</v>
      </c>
      <c r="N38">
        <v>2</v>
      </c>
    </row>
    <row r="39" spans="1:18" x14ac:dyDescent="0.15">
      <c r="A39" s="2">
        <v>31</v>
      </c>
      <c r="B39" s="2" t="s">
        <v>400</v>
      </c>
      <c r="C39">
        <v>3</v>
      </c>
      <c r="D39">
        <v>3</v>
      </c>
      <c r="E39">
        <v>2</v>
      </c>
      <c r="F39">
        <v>3</v>
      </c>
      <c r="G39">
        <v>1</v>
      </c>
      <c r="H39">
        <v>3</v>
      </c>
      <c r="I39">
        <v>3</v>
      </c>
      <c r="J39">
        <v>2</v>
      </c>
      <c r="K39">
        <v>2</v>
      </c>
      <c r="L39">
        <v>3</v>
      </c>
      <c r="M39">
        <v>2</v>
      </c>
      <c r="N39">
        <v>2</v>
      </c>
    </row>
    <row r="40" spans="1:18" x14ac:dyDescent="0.15">
      <c r="A40" s="2">
        <v>32</v>
      </c>
      <c r="B40" s="2" t="s">
        <v>400</v>
      </c>
      <c r="C40">
        <v>2</v>
      </c>
      <c r="D40">
        <v>4</v>
      </c>
      <c r="E40">
        <v>3</v>
      </c>
      <c r="F40">
        <v>2</v>
      </c>
      <c r="G40">
        <v>2</v>
      </c>
      <c r="H40">
        <v>1</v>
      </c>
      <c r="I40">
        <v>3</v>
      </c>
      <c r="J40">
        <v>2</v>
      </c>
      <c r="K40">
        <v>2</v>
      </c>
      <c r="L40">
        <v>4</v>
      </c>
      <c r="M40">
        <v>4</v>
      </c>
      <c r="N40">
        <v>3</v>
      </c>
    </row>
    <row r="41" spans="1:18" x14ac:dyDescent="0.15">
      <c r="A41" s="2">
        <v>33</v>
      </c>
      <c r="B41" s="2" t="s">
        <v>400</v>
      </c>
      <c r="C41">
        <v>2</v>
      </c>
      <c r="D41">
        <v>3</v>
      </c>
      <c r="E41">
        <v>2</v>
      </c>
      <c r="F41">
        <v>3</v>
      </c>
      <c r="G41">
        <v>1</v>
      </c>
      <c r="H41">
        <v>2</v>
      </c>
      <c r="I41">
        <v>1</v>
      </c>
      <c r="J41">
        <v>3</v>
      </c>
      <c r="K41">
        <v>1</v>
      </c>
      <c r="L41">
        <v>2</v>
      </c>
      <c r="M41">
        <v>3</v>
      </c>
      <c r="N41">
        <v>2</v>
      </c>
    </row>
    <row r="42" spans="1:18" x14ac:dyDescent="0.15">
      <c r="A42" s="2">
        <v>34</v>
      </c>
      <c r="B42" s="2" t="s">
        <v>400</v>
      </c>
      <c r="C42">
        <v>2</v>
      </c>
      <c r="D42">
        <v>3</v>
      </c>
      <c r="E42">
        <v>3</v>
      </c>
      <c r="F42">
        <v>3</v>
      </c>
      <c r="G42">
        <v>1</v>
      </c>
      <c r="H42">
        <v>2</v>
      </c>
      <c r="I42">
        <v>2</v>
      </c>
      <c r="J42">
        <v>2</v>
      </c>
      <c r="K42">
        <v>2</v>
      </c>
      <c r="L42">
        <v>3</v>
      </c>
      <c r="M42">
        <v>3</v>
      </c>
      <c r="N42">
        <v>2</v>
      </c>
    </row>
    <row r="43" spans="1:18" x14ac:dyDescent="0.15">
      <c r="A43" s="2">
        <v>35</v>
      </c>
      <c r="B43" s="2" t="s">
        <v>400</v>
      </c>
      <c r="C43">
        <v>2</v>
      </c>
      <c r="D43">
        <v>3</v>
      </c>
      <c r="E43">
        <v>4</v>
      </c>
      <c r="F43">
        <v>3</v>
      </c>
      <c r="G43">
        <v>2</v>
      </c>
      <c r="H43">
        <v>3</v>
      </c>
      <c r="I43">
        <v>3</v>
      </c>
      <c r="J43">
        <v>3</v>
      </c>
      <c r="K43">
        <v>4</v>
      </c>
      <c r="L43">
        <v>3</v>
      </c>
      <c r="M43">
        <v>4</v>
      </c>
      <c r="N43">
        <v>1</v>
      </c>
    </row>
    <row r="44" spans="1:18" x14ac:dyDescent="0.15">
      <c r="A44" s="2">
        <v>36</v>
      </c>
      <c r="B44" s="2" t="s">
        <v>400</v>
      </c>
      <c r="C44">
        <v>3</v>
      </c>
      <c r="D44">
        <v>3</v>
      </c>
      <c r="E44">
        <v>3</v>
      </c>
      <c r="F44">
        <v>3</v>
      </c>
      <c r="G44">
        <v>1</v>
      </c>
      <c r="H44">
        <v>2</v>
      </c>
      <c r="I44">
        <v>3</v>
      </c>
      <c r="J44">
        <v>2</v>
      </c>
      <c r="K44">
        <v>2</v>
      </c>
      <c r="L44">
        <v>3</v>
      </c>
      <c r="M44">
        <v>2</v>
      </c>
      <c r="N44">
        <v>1</v>
      </c>
    </row>
    <row r="45" spans="1:18" x14ac:dyDescent="0.15">
      <c r="B45" s="2" t="s">
        <v>402</v>
      </c>
      <c r="C45">
        <f>SUM(C9:C44)</f>
        <v>76.25</v>
      </c>
      <c r="D45">
        <f t="shared" ref="D45:N45" si="1">SUM(D9:D44)</f>
        <v>108.5</v>
      </c>
      <c r="E45">
        <f t="shared" si="1"/>
        <v>98.75</v>
      </c>
      <c r="F45">
        <f t="shared" si="1"/>
        <v>99</v>
      </c>
      <c r="G45">
        <f t="shared" si="1"/>
        <v>61.25</v>
      </c>
      <c r="H45">
        <f t="shared" si="1"/>
        <v>70</v>
      </c>
      <c r="I45">
        <f t="shared" si="1"/>
        <v>100.25</v>
      </c>
      <c r="J45">
        <f t="shared" si="1"/>
        <v>76.75</v>
      </c>
      <c r="K45">
        <f t="shared" si="1"/>
        <v>67.75</v>
      </c>
      <c r="L45">
        <f t="shared" si="1"/>
        <v>104.5</v>
      </c>
      <c r="M45">
        <f t="shared" si="1"/>
        <v>110</v>
      </c>
      <c r="N45">
        <f t="shared" si="1"/>
        <v>55.25</v>
      </c>
      <c r="R45" t="s">
        <v>18</v>
      </c>
    </row>
    <row r="46" spans="1:18" x14ac:dyDescent="0.15">
      <c r="B46" s="1" t="s">
        <v>403</v>
      </c>
      <c r="C46" s="4">
        <f>+C45/36</f>
        <v>2.1180555555555554</v>
      </c>
      <c r="D46" s="4">
        <f t="shared" ref="D46:N46" si="2">+D45/36</f>
        <v>3.0138888888888888</v>
      </c>
      <c r="E46" s="4">
        <f t="shared" si="2"/>
        <v>2.7430555555555554</v>
      </c>
      <c r="F46" s="4">
        <f t="shared" si="2"/>
        <v>2.75</v>
      </c>
      <c r="G46" s="4">
        <f t="shared" si="2"/>
        <v>1.7013888888888888</v>
      </c>
      <c r="H46" s="4">
        <f t="shared" si="2"/>
        <v>1.9444444444444444</v>
      </c>
      <c r="I46" s="4">
        <f t="shared" si="2"/>
        <v>2.7847222222222223</v>
      </c>
      <c r="J46" s="4">
        <f t="shared" si="2"/>
        <v>2.1319444444444446</v>
      </c>
      <c r="K46" s="4">
        <f t="shared" si="2"/>
        <v>1.8819444444444444</v>
      </c>
      <c r="L46" s="4">
        <f t="shared" si="2"/>
        <v>2.9027777777777777</v>
      </c>
      <c r="M46" s="4">
        <f t="shared" si="2"/>
        <v>3.0555555555555554</v>
      </c>
      <c r="N46" s="4">
        <f t="shared" si="2"/>
        <v>1.5347222222222223</v>
      </c>
    </row>
    <row r="47" spans="1:18" ht="14" thickBot="1" x14ac:dyDescent="0.2">
      <c r="B47" s="2"/>
      <c r="O47" t="s">
        <v>18</v>
      </c>
    </row>
    <row r="48" spans="1:18" x14ac:dyDescent="0.15">
      <c r="A48" s="201" t="s">
        <v>398</v>
      </c>
      <c r="B48" s="32" t="s">
        <v>624</v>
      </c>
      <c r="C48" s="49" t="s">
        <v>404</v>
      </c>
      <c r="D48" s="49" t="s">
        <v>400</v>
      </c>
      <c r="E48" s="49" t="s">
        <v>405</v>
      </c>
      <c r="F48" s="49" t="s">
        <v>404</v>
      </c>
      <c r="G48" s="49" t="s">
        <v>405</v>
      </c>
      <c r="H48" s="49" t="s">
        <v>404</v>
      </c>
      <c r="I48" s="49" t="s">
        <v>400</v>
      </c>
      <c r="J48" s="49" t="s">
        <v>405</v>
      </c>
      <c r="K48" s="49" t="s">
        <v>404</v>
      </c>
      <c r="L48" s="49" t="s">
        <v>400</v>
      </c>
      <c r="M48" s="49" t="s">
        <v>400</v>
      </c>
      <c r="N48" s="51" t="s">
        <v>405</v>
      </c>
    </row>
    <row r="49" spans="1:17" ht="14" thickBot="1" x14ac:dyDescent="0.2">
      <c r="A49" s="493" t="s">
        <v>28</v>
      </c>
      <c r="B49" s="33"/>
      <c r="C49" s="33">
        <v>1</v>
      </c>
      <c r="D49" s="33">
        <v>2</v>
      </c>
      <c r="E49" s="33">
        <v>3</v>
      </c>
      <c r="F49" s="33">
        <v>4</v>
      </c>
      <c r="G49" s="33">
        <v>5</v>
      </c>
      <c r="H49" s="33">
        <v>6</v>
      </c>
      <c r="I49" s="33">
        <v>7</v>
      </c>
      <c r="J49" s="33">
        <v>8</v>
      </c>
      <c r="K49" s="33">
        <v>9</v>
      </c>
      <c r="L49" s="33">
        <v>10</v>
      </c>
      <c r="M49" s="33">
        <v>11</v>
      </c>
      <c r="N49" s="152">
        <v>12</v>
      </c>
    </row>
    <row r="50" spans="1:17" x14ac:dyDescent="0.15">
      <c r="A50" s="2">
        <v>1</v>
      </c>
      <c r="B50" s="2" t="s">
        <v>404</v>
      </c>
      <c r="C50">
        <v>1</v>
      </c>
      <c r="D50">
        <v>3</v>
      </c>
      <c r="E50">
        <v>2</v>
      </c>
      <c r="F50">
        <v>2</v>
      </c>
      <c r="G50">
        <v>3</v>
      </c>
      <c r="H50">
        <v>0</v>
      </c>
      <c r="I50">
        <v>1</v>
      </c>
      <c r="J50">
        <v>3</v>
      </c>
      <c r="K50">
        <v>0</v>
      </c>
      <c r="L50">
        <v>1</v>
      </c>
      <c r="M50">
        <v>3</v>
      </c>
      <c r="N50">
        <v>0</v>
      </c>
      <c r="O50" t="s">
        <v>18</v>
      </c>
    </row>
    <row r="51" spans="1:17" x14ac:dyDescent="0.15">
      <c r="A51" s="2">
        <v>2</v>
      </c>
      <c r="B51" s="2" t="s">
        <v>404</v>
      </c>
      <c r="C51">
        <v>2</v>
      </c>
      <c r="D51">
        <v>3</v>
      </c>
      <c r="E51">
        <v>3</v>
      </c>
      <c r="F51">
        <v>3</v>
      </c>
      <c r="G51">
        <v>4</v>
      </c>
      <c r="H51">
        <v>0</v>
      </c>
      <c r="I51">
        <v>2</v>
      </c>
      <c r="J51">
        <v>3</v>
      </c>
      <c r="K51">
        <v>2</v>
      </c>
      <c r="L51">
        <v>3</v>
      </c>
      <c r="M51">
        <v>3</v>
      </c>
      <c r="N51">
        <v>1</v>
      </c>
    </row>
    <row r="52" spans="1:17" x14ac:dyDescent="0.15">
      <c r="A52" s="2">
        <v>3</v>
      </c>
      <c r="B52" s="2" t="s">
        <v>404</v>
      </c>
      <c r="C52">
        <v>1</v>
      </c>
      <c r="D52">
        <v>3</v>
      </c>
      <c r="E52">
        <v>1</v>
      </c>
      <c r="F52">
        <v>2</v>
      </c>
      <c r="G52" s="2">
        <v>2</v>
      </c>
      <c r="H52" s="2">
        <v>1</v>
      </c>
      <c r="I52" s="2">
        <v>1</v>
      </c>
      <c r="J52" s="2">
        <v>4</v>
      </c>
      <c r="K52" s="2">
        <v>1</v>
      </c>
      <c r="L52" s="2">
        <v>2</v>
      </c>
      <c r="M52" s="2">
        <v>2</v>
      </c>
      <c r="N52" s="2">
        <v>1</v>
      </c>
      <c r="Q52" s="779"/>
    </row>
    <row r="53" spans="1:17" x14ac:dyDescent="0.15">
      <c r="A53" s="2">
        <v>4</v>
      </c>
      <c r="B53" s="2" t="s">
        <v>404</v>
      </c>
      <c r="C53">
        <v>2</v>
      </c>
      <c r="D53">
        <v>3</v>
      </c>
      <c r="E53">
        <v>3</v>
      </c>
      <c r="F53">
        <v>1</v>
      </c>
      <c r="G53" s="2">
        <v>2</v>
      </c>
      <c r="H53" s="2">
        <v>3</v>
      </c>
      <c r="I53" s="2">
        <v>3</v>
      </c>
      <c r="J53" s="2">
        <v>2</v>
      </c>
      <c r="K53" s="2">
        <v>4</v>
      </c>
      <c r="L53" s="2">
        <v>3</v>
      </c>
      <c r="M53" s="2">
        <v>2</v>
      </c>
      <c r="N53" s="2">
        <v>1</v>
      </c>
      <c r="Q53" s="779"/>
    </row>
    <row r="54" spans="1:17" x14ac:dyDescent="0.15">
      <c r="A54" s="2">
        <v>5</v>
      </c>
      <c r="B54" s="2" t="s">
        <v>404</v>
      </c>
      <c r="C54">
        <v>3</v>
      </c>
      <c r="D54">
        <v>4</v>
      </c>
      <c r="E54">
        <v>4.25</v>
      </c>
      <c r="F54">
        <v>3</v>
      </c>
      <c r="G54" s="2">
        <v>3</v>
      </c>
      <c r="H54" s="2">
        <v>1</v>
      </c>
      <c r="I54" s="2">
        <v>3</v>
      </c>
      <c r="J54" s="2">
        <v>4</v>
      </c>
      <c r="K54" s="2">
        <v>0</v>
      </c>
      <c r="L54" s="2">
        <v>2</v>
      </c>
      <c r="M54" s="2">
        <v>2</v>
      </c>
      <c r="N54" s="2">
        <v>0</v>
      </c>
      <c r="Q54" s="778"/>
    </row>
    <row r="55" spans="1:17" x14ac:dyDescent="0.15">
      <c r="A55" s="2">
        <v>6</v>
      </c>
      <c r="B55" s="2" t="s">
        <v>404</v>
      </c>
      <c r="C55">
        <v>2</v>
      </c>
      <c r="D55">
        <v>0</v>
      </c>
      <c r="E55" s="2">
        <v>4</v>
      </c>
      <c r="F55" s="2">
        <v>3</v>
      </c>
      <c r="G55" s="2">
        <v>4</v>
      </c>
      <c r="H55" s="2">
        <v>0</v>
      </c>
      <c r="I55" s="2">
        <v>1</v>
      </c>
      <c r="J55" s="2">
        <v>4</v>
      </c>
      <c r="K55" s="2">
        <v>0</v>
      </c>
      <c r="L55" s="2">
        <v>4</v>
      </c>
      <c r="M55" s="2">
        <v>4</v>
      </c>
      <c r="N55" s="2">
        <v>3</v>
      </c>
      <c r="Q55" s="778"/>
    </row>
    <row r="56" spans="1:17" x14ac:dyDescent="0.15">
      <c r="A56" s="2">
        <v>7</v>
      </c>
      <c r="B56" s="2" t="s">
        <v>404</v>
      </c>
      <c r="C56">
        <v>3</v>
      </c>
      <c r="D56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3</v>
      </c>
      <c r="K56" s="2">
        <v>2</v>
      </c>
      <c r="L56" s="2">
        <v>3</v>
      </c>
      <c r="M56" s="2">
        <v>3</v>
      </c>
      <c r="N56" s="2">
        <v>1</v>
      </c>
      <c r="Q56" s="778"/>
    </row>
    <row r="57" spans="1:17" x14ac:dyDescent="0.15">
      <c r="A57" s="2">
        <v>8</v>
      </c>
      <c r="B57" s="2" t="s">
        <v>404</v>
      </c>
      <c r="C57">
        <v>3</v>
      </c>
      <c r="D57">
        <v>4</v>
      </c>
      <c r="E57" s="2">
        <v>3</v>
      </c>
      <c r="F57" s="2">
        <v>2</v>
      </c>
      <c r="G57" s="2">
        <v>1</v>
      </c>
      <c r="H57" s="2">
        <v>2</v>
      </c>
      <c r="I57" s="2">
        <v>3</v>
      </c>
      <c r="J57" s="2">
        <v>2</v>
      </c>
      <c r="K57" s="2">
        <v>2</v>
      </c>
      <c r="L57" s="2">
        <v>3</v>
      </c>
      <c r="M57" s="2">
        <v>4</v>
      </c>
      <c r="N57" s="2">
        <v>2</v>
      </c>
      <c r="Q57" s="778"/>
    </row>
    <row r="58" spans="1:17" x14ac:dyDescent="0.15">
      <c r="A58" s="2">
        <v>9</v>
      </c>
      <c r="B58" s="2" t="s">
        <v>404</v>
      </c>
      <c r="C58">
        <v>2</v>
      </c>
      <c r="D58">
        <v>2</v>
      </c>
      <c r="E58" s="2">
        <v>3</v>
      </c>
      <c r="F58" s="2">
        <v>2</v>
      </c>
      <c r="G58" s="2">
        <v>1</v>
      </c>
      <c r="H58" s="2">
        <v>2</v>
      </c>
      <c r="I58" s="2">
        <v>3</v>
      </c>
      <c r="J58" s="2">
        <v>1</v>
      </c>
      <c r="K58" s="2">
        <v>2</v>
      </c>
      <c r="L58" s="2">
        <v>3</v>
      </c>
      <c r="M58" s="2">
        <v>3</v>
      </c>
      <c r="N58" s="2">
        <v>1</v>
      </c>
      <c r="Q58" s="778"/>
    </row>
    <row r="59" spans="1:17" x14ac:dyDescent="0.15">
      <c r="A59" s="2">
        <v>10</v>
      </c>
      <c r="B59" s="2" t="s">
        <v>404</v>
      </c>
      <c r="C59">
        <v>2</v>
      </c>
      <c r="D59">
        <v>2</v>
      </c>
      <c r="E59" s="2">
        <v>3</v>
      </c>
      <c r="F59" s="2">
        <v>2</v>
      </c>
      <c r="G59" s="2">
        <v>1</v>
      </c>
      <c r="H59" s="2">
        <v>2</v>
      </c>
      <c r="I59" s="2">
        <v>3</v>
      </c>
      <c r="J59" s="2">
        <v>2</v>
      </c>
      <c r="K59" s="2">
        <v>2</v>
      </c>
      <c r="L59" s="2">
        <v>3</v>
      </c>
      <c r="M59" s="2">
        <v>3</v>
      </c>
      <c r="N59" s="2">
        <v>2</v>
      </c>
      <c r="Q59" s="778"/>
    </row>
    <row r="60" spans="1:17" x14ac:dyDescent="0.15">
      <c r="A60">
        <v>11</v>
      </c>
      <c r="B60" s="2" t="s">
        <v>404</v>
      </c>
      <c r="C60">
        <v>2</v>
      </c>
      <c r="D60">
        <v>2</v>
      </c>
      <c r="E60" s="2">
        <v>1</v>
      </c>
      <c r="F60" s="2">
        <v>2</v>
      </c>
      <c r="G60" s="2">
        <v>1</v>
      </c>
      <c r="H60" s="2">
        <v>2</v>
      </c>
      <c r="I60" s="2">
        <v>2</v>
      </c>
      <c r="J60" s="2">
        <v>1</v>
      </c>
      <c r="K60" s="2">
        <v>2</v>
      </c>
      <c r="L60" s="2">
        <v>2</v>
      </c>
      <c r="M60" s="2">
        <v>2</v>
      </c>
      <c r="N60" s="2">
        <v>1</v>
      </c>
      <c r="Q60" s="778"/>
    </row>
    <row r="61" spans="1:17" x14ac:dyDescent="0.15">
      <c r="A61">
        <v>12</v>
      </c>
      <c r="B61" s="2" t="s">
        <v>404</v>
      </c>
      <c r="C61">
        <v>1</v>
      </c>
      <c r="D61">
        <v>3</v>
      </c>
      <c r="E61" s="2">
        <v>4</v>
      </c>
      <c r="F61" s="2">
        <v>1</v>
      </c>
      <c r="G61" s="2">
        <v>2</v>
      </c>
      <c r="H61" s="2">
        <v>1</v>
      </c>
      <c r="I61" s="2">
        <v>3</v>
      </c>
      <c r="J61" s="2">
        <v>3</v>
      </c>
      <c r="K61" s="2">
        <v>2</v>
      </c>
      <c r="L61" s="2">
        <v>3</v>
      </c>
      <c r="M61" s="2">
        <v>2</v>
      </c>
      <c r="N61" s="2">
        <v>1</v>
      </c>
      <c r="Q61" s="778"/>
    </row>
    <row r="62" spans="1:17" x14ac:dyDescent="0.15">
      <c r="A62">
        <v>13</v>
      </c>
      <c r="B62" s="2" t="s">
        <v>404</v>
      </c>
      <c r="C62">
        <v>2</v>
      </c>
      <c r="D62">
        <v>4</v>
      </c>
      <c r="E62" s="2">
        <v>3</v>
      </c>
      <c r="F62" s="2">
        <v>3</v>
      </c>
      <c r="G62" s="2">
        <v>0</v>
      </c>
      <c r="H62" s="2">
        <v>2</v>
      </c>
      <c r="I62" s="2">
        <v>3</v>
      </c>
      <c r="J62" s="2">
        <v>1</v>
      </c>
      <c r="K62" s="2">
        <v>2</v>
      </c>
      <c r="L62" s="2">
        <v>3</v>
      </c>
      <c r="M62" s="2">
        <v>4</v>
      </c>
      <c r="N62" s="2">
        <v>3</v>
      </c>
      <c r="P62" s="2"/>
      <c r="Q62" s="778"/>
    </row>
    <row r="63" spans="1:17" x14ac:dyDescent="0.15">
      <c r="A63">
        <v>14</v>
      </c>
      <c r="B63" s="2" t="s">
        <v>404</v>
      </c>
      <c r="C63">
        <v>2</v>
      </c>
      <c r="D63">
        <v>4</v>
      </c>
      <c r="E63" s="2">
        <v>2</v>
      </c>
      <c r="F63" s="2">
        <v>2</v>
      </c>
      <c r="G63" s="2">
        <v>2</v>
      </c>
      <c r="H63" s="2">
        <v>2</v>
      </c>
      <c r="I63" s="2">
        <v>3</v>
      </c>
      <c r="J63" s="2">
        <v>2</v>
      </c>
      <c r="K63" s="2">
        <v>2</v>
      </c>
      <c r="L63" s="2">
        <v>2</v>
      </c>
      <c r="M63" s="2">
        <v>1</v>
      </c>
      <c r="N63" s="2">
        <v>2</v>
      </c>
      <c r="P63" s="2"/>
      <c r="Q63" s="778"/>
    </row>
    <row r="64" spans="1:17" x14ac:dyDescent="0.15">
      <c r="A64">
        <v>15</v>
      </c>
      <c r="B64" s="2" t="s">
        <v>404</v>
      </c>
      <c r="C64">
        <v>2</v>
      </c>
      <c r="D64">
        <v>1</v>
      </c>
      <c r="E64" s="2">
        <v>2</v>
      </c>
      <c r="F64" s="2">
        <v>2</v>
      </c>
      <c r="G64" s="2">
        <v>2</v>
      </c>
      <c r="H64" s="2">
        <v>2</v>
      </c>
      <c r="I64" s="2">
        <v>1</v>
      </c>
      <c r="J64" s="2">
        <v>2</v>
      </c>
      <c r="K64" s="2">
        <v>1</v>
      </c>
      <c r="L64" s="2">
        <v>1</v>
      </c>
      <c r="M64" s="2">
        <v>2</v>
      </c>
      <c r="N64" s="2">
        <v>2</v>
      </c>
      <c r="Q64" s="778"/>
    </row>
    <row r="65" spans="1:18" x14ac:dyDescent="0.15">
      <c r="A65">
        <v>16</v>
      </c>
      <c r="B65" s="2" t="s">
        <v>404</v>
      </c>
      <c r="C65">
        <v>1</v>
      </c>
      <c r="D65">
        <v>4</v>
      </c>
      <c r="E65" s="2">
        <v>1</v>
      </c>
      <c r="F65" s="2">
        <v>4</v>
      </c>
      <c r="G65" s="2">
        <v>2</v>
      </c>
      <c r="H65" s="2">
        <v>1</v>
      </c>
      <c r="I65" s="2">
        <v>2</v>
      </c>
      <c r="J65" s="2">
        <v>1</v>
      </c>
      <c r="K65" s="2">
        <v>2</v>
      </c>
      <c r="L65" s="2">
        <v>4</v>
      </c>
      <c r="M65" s="2">
        <v>3</v>
      </c>
      <c r="N65" s="2">
        <v>1</v>
      </c>
      <c r="O65" s="2" t="s">
        <v>18</v>
      </c>
      <c r="Q65" s="778"/>
    </row>
    <row r="66" spans="1:18" x14ac:dyDescent="0.15">
      <c r="A66">
        <v>17</v>
      </c>
      <c r="B66" s="2" t="s">
        <v>404</v>
      </c>
      <c r="C66">
        <v>3</v>
      </c>
      <c r="D66">
        <v>2</v>
      </c>
      <c r="E66" s="2">
        <v>3</v>
      </c>
      <c r="F66" s="2">
        <v>3</v>
      </c>
      <c r="G66" s="2">
        <v>0</v>
      </c>
      <c r="H66" s="2">
        <v>2</v>
      </c>
      <c r="I66" s="2">
        <v>3</v>
      </c>
      <c r="J66" s="2">
        <v>4</v>
      </c>
      <c r="K66" s="2">
        <v>2</v>
      </c>
      <c r="L66" s="2">
        <v>1</v>
      </c>
      <c r="M66" s="2">
        <v>3</v>
      </c>
      <c r="N66" s="2">
        <v>1</v>
      </c>
    </row>
    <row r="67" spans="1:18" x14ac:dyDescent="0.15">
      <c r="A67">
        <v>18</v>
      </c>
      <c r="B67" s="2" t="s">
        <v>404</v>
      </c>
      <c r="C67">
        <v>2</v>
      </c>
      <c r="D67">
        <v>3</v>
      </c>
      <c r="E67" s="2">
        <v>2</v>
      </c>
      <c r="F67" s="2">
        <v>2</v>
      </c>
      <c r="G67" s="2">
        <v>0</v>
      </c>
      <c r="H67" s="2">
        <v>1</v>
      </c>
      <c r="I67" s="2">
        <v>3.25</v>
      </c>
      <c r="J67" s="2">
        <v>0</v>
      </c>
      <c r="K67" s="2">
        <v>1</v>
      </c>
      <c r="L67" s="2">
        <v>2</v>
      </c>
      <c r="M67" s="2">
        <v>3</v>
      </c>
      <c r="N67" s="2">
        <v>0</v>
      </c>
    </row>
    <row r="68" spans="1:18" x14ac:dyDescent="0.15">
      <c r="A68">
        <v>19</v>
      </c>
      <c r="B68" s="2" t="s">
        <v>404</v>
      </c>
      <c r="C68">
        <v>4</v>
      </c>
      <c r="D68">
        <v>3</v>
      </c>
      <c r="E68" s="2">
        <v>3</v>
      </c>
      <c r="F68" s="2">
        <v>4</v>
      </c>
      <c r="G68" s="2">
        <v>3</v>
      </c>
      <c r="H68" s="2">
        <v>1</v>
      </c>
      <c r="I68" s="2">
        <v>4</v>
      </c>
      <c r="J68" s="2">
        <v>4</v>
      </c>
      <c r="K68" s="2">
        <v>1</v>
      </c>
      <c r="L68" s="2">
        <v>3</v>
      </c>
      <c r="M68" s="2">
        <v>4</v>
      </c>
      <c r="N68" s="2">
        <v>2</v>
      </c>
      <c r="Q68" s="515"/>
      <c r="R68" t="s">
        <v>18</v>
      </c>
    </row>
    <row r="69" spans="1:18" x14ac:dyDescent="0.15">
      <c r="A69">
        <v>20</v>
      </c>
      <c r="B69" s="2" t="s">
        <v>404</v>
      </c>
      <c r="C69">
        <v>2</v>
      </c>
      <c r="D69">
        <v>4</v>
      </c>
      <c r="E69" s="2">
        <v>3</v>
      </c>
      <c r="F69" s="2">
        <v>2</v>
      </c>
      <c r="G69" s="2">
        <v>1</v>
      </c>
      <c r="H69" s="2">
        <v>2</v>
      </c>
      <c r="I69" s="2">
        <v>3</v>
      </c>
      <c r="J69" s="2">
        <v>3</v>
      </c>
      <c r="K69" s="2">
        <v>2</v>
      </c>
      <c r="L69" s="2">
        <v>3</v>
      </c>
      <c r="M69" s="2">
        <v>4</v>
      </c>
      <c r="N69" s="2">
        <v>2</v>
      </c>
      <c r="O69" s="2" t="s">
        <v>18</v>
      </c>
      <c r="P69" s="2"/>
    </row>
    <row r="70" spans="1:18" x14ac:dyDescent="0.15">
      <c r="A70">
        <v>21</v>
      </c>
      <c r="B70" s="2" t="s">
        <v>404</v>
      </c>
      <c r="C70">
        <v>3</v>
      </c>
      <c r="D70">
        <v>3</v>
      </c>
      <c r="E70" s="2">
        <v>3</v>
      </c>
      <c r="F70" s="2">
        <v>3</v>
      </c>
      <c r="G70" s="2">
        <v>3</v>
      </c>
      <c r="H70" s="2">
        <v>1</v>
      </c>
      <c r="I70" s="2">
        <v>2</v>
      </c>
      <c r="J70" s="2">
        <v>3</v>
      </c>
      <c r="K70" s="2">
        <v>1</v>
      </c>
      <c r="L70" s="2">
        <v>2</v>
      </c>
      <c r="M70" s="2">
        <v>3</v>
      </c>
      <c r="N70" s="2">
        <v>2</v>
      </c>
      <c r="O70" s="2"/>
      <c r="P70" s="2"/>
    </row>
    <row r="71" spans="1:18" x14ac:dyDescent="0.15">
      <c r="A71">
        <v>22</v>
      </c>
      <c r="B71" s="2" t="s">
        <v>404</v>
      </c>
      <c r="C71">
        <v>3</v>
      </c>
      <c r="D71">
        <v>3</v>
      </c>
      <c r="E71" s="2">
        <v>3</v>
      </c>
      <c r="F71" s="2">
        <v>3</v>
      </c>
      <c r="G71" s="2">
        <v>2</v>
      </c>
      <c r="H71" s="2">
        <v>2</v>
      </c>
      <c r="I71" s="2">
        <v>3</v>
      </c>
      <c r="J71" s="2">
        <v>2</v>
      </c>
      <c r="K71" s="2">
        <v>2</v>
      </c>
      <c r="L71" s="2">
        <v>3</v>
      </c>
      <c r="M71" s="2">
        <v>4</v>
      </c>
      <c r="N71" s="2">
        <v>3</v>
      </c>
      <c r="O71" s="2"/>
      <c r="P71" s="2"/>
    </row>
    <row r="72" spans="1:18" x14ac:dyDescent="0.15">
      <c r="A72">
        <v>23</v>
      </c>
      <c r="B72" s="2" t="s">
        <v>404</v>
      </c>
      <c r="C72">
        <v>2</v>
      </c>
      <c r="D72">
        <v>2</v>
      </c>
      <c r="E72" s="2">
        <v>2</v>
      </c>
      <c r="F72" s="2">
        <v>2</v>
      </c>
      <c r="G72" s="2">
        <v>1</v>
      </c>
      <c r="H72" s="2">
        <v>1</v>
      </c>
      <c r="I72" s="2">
        <v>2</v>
      </c>
      <c r="J72" s="2">
        <v>1</v>
      </c>
      <c r="K72" s="2">
        <v>1</v>
      </c>
      <c r="L72" s="2">
        <v>3</v>
      </c>
      <c r="M72" s="2">
        <v>3</v>
      </c>
      <c r="N72" s="2">
        <v>2</v>
      </c>
      <c r="O72" s="2"/>
      <c r="P72" s="2" t="s">
        <v>18</v>
      </c>
    </row>
    <row r="73" spans="1:18" x14ac:dyDescent="0.15">
      <c r="A73">
        <v>24</v>
      </c>
      <c r="B73" s="2" t="s">
        <v>404</v>
      </c>
      <c r="C73">
        <v>1</v>
      </c>
      <c r="D73">
        <v>3</v>
      </c>
      <c r="E73" s="2">
        <v>2</v>
      </c>
      <c r="F73" s="2">
        <v>1</v>
      </c>
      <c r="G73" s="2">
        <v>1</v>
      </c>
      <c r="H73" s="2">
        <v>1</v>
      </c>
      <c r="I73" s="2">
        <v>3</v>
      </c>
      <c r="J73" s="2">
        <v>2</v>
      </c>
      <c r="K73" s="2">
        <v>1</v>
      </c>
      <c r="L73" s="2">
        <v>3</v>
      </c>
      <c r="M73" s="2">
        <v>2</v>
      </c>
      <c r="N73" s="2">
        <v>0</v>
      </c>
      <c r="O73" s="2"/>
      <c r="P73" s="2"/>
    </row>
    <row r="74" spans="1:18" x14ac:dyDescent="0.15">
      <c r="A74">
        <v>25</v>
      </c>
      <c r="B74" s="2" t="s">
        <v>404</v>
      </c>
      <c r="C74">
        <v>1</v>
      </c>
      <c r="D74">
        <v>1</v>
      </c>
      <c r="E74" s="2">
        <v>2</v>
      </c>
      <c r="F74" s="2">
        <v>1</v>
      </c>
      <c r="G74" s="2">
        <v>0</v>
      </c>
      <c r="H74" s="2">
        <v>1</v>
      </c>
      <c r="I74" s="2">
        <v>0</v>
      </c>
      <c r="J74" s="2">
        <v>0</v>
      </c>
      <c r="K74" s="2">
        <v>1</v>
      </c>
      <c r="L74" s="2">
        <v>2</v>
      </c>
      <c r="M74" s="2">
        <v>3</v>
      </c>
      <c r="N74" s="2">
        <v>0</v>
      </c>
      <c r="O74" s="2"/>
      <c r="P74" s="2"/>
    </row>
    <row r="75" spans="1:18" x14ac:dyDescent="0.15">
      <c r="A75">
        <v>26</v>
      </c>
      <c r="B75" s="2" t="s">
        <v>404</v>
      </c>
      <c r="C75">
        <v>0</v>
      </c>
      <c r="D75">
        <v>2</v>
      </c>
      <c r="E75" s="2">
        <v>0</v>
      </c>
      <c r="F75" s="2">
        <v>0</v>
      </c>
      <c r="G75" s="2">
        <v>2</v>
      </c>
      <c r="H75" s="2">
        <v>0</v>
      </c>
      <c r="I75" s="2">
        <v>1</v>
      </c>
      <c r="J75" s="2">
        <v>2</v>
      </c>
      <c r="K75" s="2">
        <v>1</v>
      </c>
      <c r="L75" s="2">
        <v>0</v>
      </c>
      <c r="M75" s="2">
        <v>2</v>
      </c>
      <c r="N75" s="2">
        <v>0</v>
      </c>
      <c r="O75" s="2"/>
      <c r="P75" s="2" t="s">
        <v>18</v>
      </c>
    </row>
    <row r="76" spans="1:18" x14ac:dyDescent="0.15">
      <c r="A76">
        <v>27</v>
      </c>
      <c r="B76" s="2" t="s">
        <v>404</v>
      </c>
      <c r="C76">
        <v>1</v>
      </c>
      <c r="D76">
        <v>2</v>
      </c>
      <c r="E76" s="2">
        <v>2</v>
      </c>
      <c r="F76" s="2">
        <v>2</v>
      </c>
      <c r="G76" s="2">
        <v>0</v>
      </c>
      <c r="H76" s="2">
        <v>2</v>
      </c>
      <c r="I76" s="2">
        <v>2</v>
      </c>
      <c r="J76" s="2">
        <v>1</v>
      </c>
      <c r="K76" s="2">
        <v>1</v>
      </c>
      <c r="L76" s="2">
        <v>0</v>
      </c>
      <c r="M76" s="2">
        <v>3</v>
      </c>
      <c r="N76" s="2">
        <v>1</v>
      </c>
      <c r="O76" s="2"/>
      <c r="P76" s="2"/>
    </row>
    <row r="77" spans="1:18" x14ac:dyDescent="0.15">
      <c r="A77">
        <v>28</v>
      </c>
      <c r="B77" s="2" t="s">
        <v>404</v>
      </c>
      <c r="C77">
        <v>3</v>
      </c>
      <c r="D77">
        <v>4</v>
      </c>
      <c r="E77" s="2">
        <v>2</v>
      </c>
      <c r="F77" s="2">
        <v>3</v>
      </c>
      <c r="G77" s="2">
        <v>0</v>
      </c>
      <c r="H77" s="2">
        <v>3</v>
      </c>
      <c r="I77" s="2">
        <v>3</v>
      </c>
      <c r="J77" s="2">
        <v>1</v>
      </c>
      <c r="K77" s="2">
        <v>2</v>
      </c>
      <c r="L77" s="2">
        <v>3</v>
      </c>
      <c r="M77" s="2">
        <v>4</v>
      </c>
      <c r="N77" s="2">
        <v>1</v>
      </c>
      <c r="O77" s="2"/>
      <c r="P77" s="2"/>
    </row>
    <row r="78" spans="1:18" x14ac:dyDescent="0.15">
      <c r="A78">
        <v>29</v>
      </c>
      <c r="B78" s="2" t="s">
        <v>404</v>
      </c>
      <c r="C78">
        <v>1</v>
      </c>
      <c r="D78">
        <v>3</v>
      </c>
      <c r="E78" s="2">
        <v>3</v>
      </c>
      <c r="F78" s="2">
        <v>2</v>
      </c>
      <c r="G78" s="2">
        <v>1</v>
      </c>
      <c r="H78" s="2">
        <v>2.75</v>
      </c>
      <c r="I78" s="2">
        <v>3.25</v>
      </c>
      <c r="J78" s="2">
        <v>1</v>
      </c>
      <c r="K78" s="2">
        <v>1.75</v>
      </c>
      <c r="L78" s="2">
        <v>3.25</v>
      </c>
      <c r="M78" s="2">
        <v>3.25</v>
      </c>
      <c r="N78" s="2">
        <v>1</v>
      </c>
      <c r="O78" s="2"/>
      <c r="P78" s="2"/>
    </row>
    <row r="79" spans="1:18" x14ac:dyDescent="0.15">
      <c r="A79">
        <v>30</v>
      </c>
      <c r="B79" s="2" t="s">
        <v>404</v>
      </c>
      <c r="C79">
        <v>4</v>
      </c>
      <c r="D79">
        <v>3</v>
      </c>
      <c r="E79" s="2">
        <v>4</v>
      </c>
      <c r="F79" s="2">
        <v>4</v>
      </c>
      <c r="G79" s="2">
        <v>2</v>
      </c>
      <c r="H79" s="2">
        <v>4</v>
      </c>
      <c r="I79" s="2">
        <v>4</v>
      </c>
      <c r="J79" s="2">
        <v>2</v>
      </c>
      <c r="K79" s="2">
        <v>3</v>
      </c>
      <c r="L79" s="2">
        <v>3</v>
      </c>
      <c r="M79" s="2">
        <v>3</v>
      </c>
      <c r="N79" s="2">
        <v>2</v>
      </c>
      <c r="O79" s="2"/>
      <c r="P79" s="2"/>
    </row>
    <row r="80" spans="1:18" x14ac:dyDescent="0.15">
      <c r="A80">
        <v>31</v>
      </c>
      <c r="B80" s="2" t="s">
        <v>404</v>
      </c>
      <c r="C80">
        <v>2</v>
      </c>
      <c r="D80">
        <v>4</v>
      </c>
      <c r="E80" s="2">
        <v>3</v>
      </c>
      <c r="F80" s="2">
        <v>2</v>
      </c>
      <c r="G80" s="2">
        <v>3</v>
      </c>
      <c r="H80" s="2">
        <v>2</v>
      </c>
      <c r="I80" s="2">
        <v>2</v>
      </c>
      <c r="J80" s="2">
        <v>3</v>
      </c>
      <c r="K80" s="2">
        <v>3</v>
      </c>
      <c r="L80" s="2">
        <v>4</v>
      </c>
      <c r="M80" s="2">
        <v>4</v>
      </c>
      <c r="N80" s="2">
        <v>3</v>
      </c>
      <c r="P80" t="s">
        <v>18</v>
      </c>
    </row>
    <row r="81" spans="1:23" x14ac:dyDescent="0.15">
      <c r="B81" s="2" t="s">
        <v>402</v>
      </c>
      <c r="C81">
        <f>SUM(C50:C80)</f>
        <v>63</v>
      </c>
      <c r="D81">
        <f t="shared" ref="D81:N81" si="3">SUM(D50:D80)</f>
        <v>87</v>
      </c>
      <c r="E81">
        <f t="shared" si="3"/>
        <v>79.25</v>
      </c>
      <c r="F81">
        <f t="shared" si="3"/>
        <v>71</v>
      </c>
      <c r="G81">
        <f t="shared" si="3"/>
        <v>52</v>
      </c>
      <c r="H81">
        <f t="shared" si="3"/>
        <v>47.75</v>
      </c>
      <c r="I81">
        <f t="shared" si="3"/>
        <v>75.5</v>
      </c>
      <c r="J81">
        <f t="shared" si="3"/>
        <v>67</v>
      </c>
      <c r="K81">
        <f t="shared" si="3"/>
        <v>49.75</v>
      </c>
      <c r="L81">
        <f t="shared" si="3"/>
        <v>77.25</v>
      </c>
      <c r="M81">
        <f t="shared" si="3"/>
        <v>91.25</v>
      </c>
      <c r="N81">
        <f t="shared" si="3"/>
        <v>42</v>
      </c>
    </row>
    <row r="82" spans="1:23" x14ac:dyDescent="0.15">
      <c r="B82" s="1" t="s">
        <v>403</v>
      </c>
      <c r="C82" s="4">
        <f>+C81/31</f>
        <v>2.032258064516129</v>
      </c>
      <c r="D82" s="4">
        <f t="shared" ref="D82:N82" si="4">+D81/31</f>
        <v>2.806451612903226</v>
      </c>
      <c r="E82" s="4">
        <f t="shared" si="4"/>
        <v>2.556451612903226</v>
      </c>
      <c r="F82" s="4">
        <f t="shared" si="4"/>
        <v>2.2903225806451615</v>
      </c>
      <c r="G82" s="4">
        <f t="shared" si="4"/>
        <v>1.6774193548387097</v>
      </c>
      <c r="H82" s="4">
        <f t="shared" si="4"/>
        <v>1.5403225806451613</v>
      </c>
      <c r="I82" s="4">
        <f t="shared" si="4"/>
        <v>2.435483870967742</v>
      </c>
      <c r="J82" s="4">
        <f t="shared" si="4"/>
        <v>2.161290322580645</v>
      </c>
      <c r="K82" s="4">
        <f t="shared" si="4"/>
        <v>1.6048387096774193</v>
      </c>
      <c r="L82" s="4">
        <f t="shared" si="4"/>
        <v>2.4919354838709675</v>
      </c>
      <c r="M82" s="4">
        <f t="shared" si="4"/>
        <v>2.943548387096774</v>
      </c>
      <c r="N82" s="4">
        <f t="shared" si="4"/>
        <v>1.3548387096774193</v>
      </c>
    </row>
    <row r="83" spans="1:23" ht="14" thickBot="1" x14ac:dyDescent="0.2">
      <c r="B83" s="2"/>
      <c r="P83" t="s">
        <v>18</v>
      </c>
      <c r="Q83" s="780"/>
    </row>
    <row r="84" spans="1:23" x14ac:dyDescent="0.15">
      <c r="A84" s="48" t="s">
        <v>398</v>
      </c>
      <c r="B84" s="32" t="s">
        <v>624</v>
      </c>
      <c r="C84" s="49" t="s">
        <v>404</v>
      </c>
      <c r="D84" s="49" t="s">
        <v>400</v>
      </c>
      <c r="E84" s="49" t="s">
        <v>405</v>
      </c>
      <c r="F84" s="49" t="s">
        <v>404</v>
      </c>
      <c r="G84" s="49" t="s">
        <v>405</v>
      </c>
      <c r="H84" s="49" t="s">
        <v>404</v>
      </c>
      <c r="I84" s="49" t="s">
        <v>400</v>
      </c>
      <c r="J84" s="49" t="s">
        <v>405</v>
      </c>
      <c r="K84" s="49" t="s">
        <v>404</v>
      </c>
      <c r="L84" s="49" t="s">
        <v>400</v>
      </c>
      <c r="M84" s="49" t="s">
        <v>400</v>
      </c>
      <c r="N84" s="51" t="s">
        <v>405</v>
      </c>
      <c r="P84" t="s">
        <v>18</v>
      </c>
      <c r="Q84" s="2"/>
      <c r="W84" s="781"/>
    </row>
    <row r="85" spans="1:23" ht="14" thickBot="1" x14ac:dyDescent="0.2">
      <c r="A85" s="493" t="s">
        <v>28</v>
      </c>
      <c r="B85" s="313"/>
      <c r="C85" s="33">
        <v>1</v>
      </c>
      <c r="D85" s="33">
        <v>2</v>
      </c>
      <c r="E85" s="33">
        <v>3</v>
      </c>
      <c r="F85" s="33">
        <v>4</v>
      </c>
      <c r="G85" s="33">
        <v>5</v>
      </c>
      <c r="H85" s="33">
        <v>6</v>
      </c>
      <c r="I85" s="33">
        <v>7</v>
      </c>
      <c r="J85" s="33">
        <v>8</v>
      </c>
      <c r="K85" s="33">
        <v>9</v>
      </c>
      <c r="L85" s="33">
        <v>10</v>
      </c>
      <c r="M85" s="33">
        <v>11</v>
      </c>
      <c r="N85" s="152">
        <v>12</v>
      </c>
      <c r="P85" s="2"/>
      <c r="W85" s="781"/>
    </row>
    <row r="86" spans="1:23" x14ac:dyDescent="0.15">
      <c r="A86" s="2">
        <v>1</v>
      </c>
      <c r="B86" s="2" t="s">
        <v>405</v>
      </c>
      <c r="C86">
        <v>3</v>
      </c>
      <c r="D86">
        <v>2.75</v>
      </c>
      <c r="E86">
        <v>3</v>
      </c>
      <c r="F86">
        <v>4</v>
      </c>
      <c r="G86">
        <v>2</v>
      </c>
      <c r="H86">
        <v>4</v>
      </c>
      <c r="I86" s="2">
        <v>4</v>
      </c>
      <c r="J86" s="2">
        <v>1</v>
      </c>
      <c r="K86" s="2">
        <v>3</v>
      </c>
      <c r="L86" s="2">
        <v>4</v>
      </c>
      <c r="M86" s="2">
        <v>2</v>
      </c>
      <c r="N86" s="2">
        <v>2</v>
      </c>
      <c r="P86" s="2" t="s">
        <v>18</v>
      </c>
      <c r="W86" s="781"/>
    </row>
    <row r="87" spans="1:23" x14ac:dyDescent="0.15">
      <c r="A87" s="2">
        <v>2</v>
      </c>
      <c r="B87" s="2" t="s">
        <v>405</v>
      </c>
      <c r="C87">
        <v>1</v>
      </c>
      <c r="D87">
        <v>3</v>
      </c>
      <c r="E87">
        <v>1</v>
      </c>
      <c r="F87">
        <v>2</v>
      </c>
      <c r="G87">
        <v>0</v>
      </c>
      <c r="H87">
        <v>1</v>
      </c>
      <c r="I87">
        <v>4</v>
      </c>
      <c r="J87">
        <v>1</v>
      </c>
      <c r="K87">
        <v>2</v>
      </c>
      <c r="L87">
        <v>2</v>
      </c>
      <c r="M87">
        <v>3</v>
      </c>
      <c r="N87">
        <v>1</v>
      </c>
      <c r="W87" s="781"/>
    </row>
    <row r="88" spans="1:23" x14ac:dyDescent="0.15">
      <c r="A88" s="2">
        <v>3</v>
      </c>
      <c r="B88" s="2" t="s">
        <v>405</v>
      </c>
      <c r="C88">
        <v>3</v>
      </c>
      <c r="D88">
        <v>3</v>
      </c>
      <c r="E88">
        <v>2</v>
      </c>
      <c r="F88">
        <v>3</v>
      </c>
      <c r="G88">
        <v>4</v>
      </c>
      <c r="H88">
        <v>1</v>
      </c>
      <c r="I88">
        <v>1</v>
      </c>
      <c r="J88">
        <v>4</v>
      </c>
      <c r="K88">
        <v>1</v>
      </c>
      <c r="L88">
        <v>2</v>
      </c>
      <c r="M88">
        <v>3</v>
      </c>
      <c r="N88">
        <v>1</v>
      </c>
      <c r="Q88" t="s">
        <v>18</v>
      </c>
      <c r="W88" s="781"/>
    </row>
    <row r="89" spans="1:23" x14ac:dyDescent="0.15">
      <c r="A89" s="2">
        <v>4</v>
      </c>
      <c r="B89" s="2" t="s">
        <v>405</v>
      </c>
      <c r="C89">
        <v>3</v>
      </c>
      <c r="D89">
        <v>4</v>
      </c>
      <c r="E89">
        <v>3</v>
      </c>
      <c r="F89">
        <v>3</v>
      </c>
      <c r="G89">
        <v>4</v>
      </c>
      <c r="H89">
        <v>2</v>
      </c>
      <c r="I89">
        <v>3</v>
      </c>
      <c r="J89">
        <v>4</v>
      </c>
      <c r="K89">
        <v>2</v>
      </c>
      <c r="L89">
        <v>3</v>
      </c>
      <c r="M89">
        <v>4</v>
      </c>
      <c r="N89">
        <v>2</v>
      </c>
      <c r="Q89" s="2"/>
      <c r="W89" s="781"/>
    </row>
    <row r="90" spans="1:23" x14ac:dyDescent="0.15">
      <c r="A90" s="2">
        <v>5</v>
      </c>
      <c r="B90" s="2" t="s">
        <v>405</v>
      </c>
      <c r="C90">
        <v>1</v>
      </c>
      <c r="D90">
        <v>2</v>
      </c>
      <c r="E90">
        <v>1</v>
      </c>
      <c r="F90">
        <v>2</v>
      </c>
      <c r="G90">
        <v>3</v>
      </c>
      <c r="H90">
        <v>1</v>
      </c>
      <c r="I90">
        <v>2</v>
      </c>
      <c r="J90">
        <v>3</v>
      </c>
      <c r="K90">
        <v>1</v>
      </c>
      <c r="L90">
        <v>1</v>
      </c>
      <c r="M90">
        <v>3</v>
      </c>
      <c r="N90">
        <v>1</v>
      </c>
      <c r="W90" s="781"/>
    </row>
    <row r="91" spans="1:23" x14ac:dyDescent="0.15">
      <c r="A91">
        <v>6</v>
      </c>
      <c r="B91" s="2" t="s">
        <v>405</v>
      </c>
      <c r="C91">
        <v>2</v>
      </c>
      <c r="D91">
        <v>4</v>
      </c>
      <c r="E91">
        <v>3</v>
      </c>
      <c r="F91">
        <v>3</v>
      </c>
      <c r="G91">
        <v>0</v>
      </c>
      <c r="H91">
        <v>2</v>
      </c>
      <c r="I91">
        <v>3</v>
      </c>
      <c r="J91">
        <v>0</v>
      </c>
      <c r="K91">
        <v>0</v>
      </c>
      <c r="L91">
        <v>4</v>
      </c>
      <c r="M91">
        <v>4</v>
      </c>
      <c r="N91">
        <v>0</v>
      </c>
      <c r="P91" t="s">
        <v>18</v>
      </c>
      <c r="Q91" t="s">
        <v>18</v>
      </c>
      <c r="R91" t="s">
        <v>18</v>
      </c>
      <c r="W91" s="781"/>
    </row>
    <row r="92" spans="1:23" x14ac:dyDescent="0.15">
      <c r="A92">
        <v>7</v>
      </c>
      <c r="B92" s="2" t="s">
        <v>405</v>
      </c>
      <c r="C92">
        <v>3</v>
      </c>
      <c r="D92">
        <v>2.75</v>
      </c>
      <c r="E92">
        <v>3</v>
      </c>
      <c r="F92">
        <v>4</v>
      </c>
      <c r="G92">
        <v>2</v>
      </c>
      <c r="H92">
        <v>4</v>
      </c>
      <c r="I92">
        <v>4</v>
      </c>
      <c r="J92">
        <v>1</v>
      </c>
      <c r="K92">
        <v>3</v>
      </c>
      <c r="L92">
        <v>4</v>
      </c>
      <c r="M92">
        <v>2</v>
      </c>
      <c r="N92">
        <v>2</v>
      </c>
      <c r="P92" t="s">
        <v>18</v>
      </c>
      <c r="W92" s="781"/>
    </row>
    <row r="93" spans="1:23" x14ac:dyDescent="0.15">
      <c r="A93">
        <v>8</v>
      </c>
      <c r="B93" s="2" t="s">
        <v>405</v>
      </c>
      <c r="C93">
        <v>3</v>
      </c>
      <c r="D93">
        <v>3</v>
      </c>
      <c r="E93">
        <v>2</v>
      </c>
      <c r="F93">
        <v>2</v>
      </c>
      <c r="G93">
        <v>1</v>
      </c>
      <c r="H93">
        <v>2</v>
      </c>
      <c r="I93">
        <v>3</v>
      </c>
      <c r="J93">
        <v>2</v>
      </c>
      <c r="K93">
        <v>2</v>
      </c>
      <c r="L93">
        <v>4</v>
      </c>
      <c r="M93">
        <v>3</v>
      </c>
      <c r="N93">
        <v>1</v>
      </c>
      <c r="W93" s="781"/>
    </row>
    <row r="94" spans="1:23" x14ac:dyDescent="0.15">
      <c r="A94">
        <v>9</v>
      </c>
      <c r="B94" s="2" t="s">
        <v>405</v>
      </c>
      <c r="C94">
        <v>2</v>
      </c>
      <c r="D94">
        <v>4</v>
      </c>
      <c r="E94">
        <v>3</v>
      </c>
      <c r="F94">
        <v>3</v>
      </c>
      <c r="G94">
        <v>0</v>
      </c>
      <c r="H94">
        <v>2</v>
      </c>
      <c r="I94">
        <v>3</v>
      </c>
      <c r="J94">
        <v>2</v>
      </c>
      <c r="K94">
        <v>1</v>
      </c>
      <c r="L94">
        <v>4</v>
      </c>
      <c r="M94">
        <v>4</v>
      </c>
      <c r="N94">
        <v>2</v>
      </c>
      <c r="W94" s="781"/>
    </row>
    <row r="95" spans="1:23" x14ac:dyDescent="0.15">
      <c r="A95">
        <v>10</v>
      </c>
      <c r="B95" s="2" t="s">
        <v>405</v>
      </c>
      <c r="C95">
        <v>2</v>
      </c>
      <c r="D95">
        <v>3</v>
      </c>
      <c r="E95">
        <v>1</v>
      </c>
      <c r="F95">
        <v>3</v>
      </c>
      <c r="G95">
        <v>0</v>
      </c>
      <c r="H95">
        <v>2</v>
      </c>
      <c r="I95">
        <v>3</v>
      </c>
      <c r="J95">
        <v>1</v>
      </c>
      <c r="K95">
        <v>1</v>
      </c>
      <c r="L95">
        <v>3</v>
      </c>
      <c r="M95">
        <v>4</v>
      </c>
      <c r="N95">
        <v>0</v>
      </c>
      <c r="P95" s="2"/>
      <c r="R95" s="2"/>
      <c r="W95" s="781"/>
    </row>
    <row r="96" spans="1:23" x14ac:dyDescent="0.15">
      <c r="B96" s="2" t="s">
        <v>402</v>
      </c>
      <c r="C96">
        <f>SUM(C86:C95)</f>
        <v>23</v>
      </c>
      <c r="D96">
        <f t="shared" ref="D96:N96" si="5">SUM(D86:D95)</f>
        <v>31.5</v>
      </c>
      <c r="E96">
        <f t="shared" si="5"/>
        <v>22</v>
      </c>
      <c r="F96">
        <f t="shared" si="5"/>
        <v>29</v>
      </c>
      <c r="G96">
        <f t="shared" si="5"/>
        <v>16</v>
      </c>
      <c r="H96">
        <f t="shared" si="5"/>
        <v>21</v>
      </c>
      <c r="I96">
        <f t="shared" si="5"/>
        <v>30</v>
      </c>
      <c r="J96">
        <f t="shared" si="5"/>
        <v>19</v>
      </c>
      <c r="K96">
        <f t="shared" si="5"/>
        <v>16</v>
      </c>
      <c r="L96">
        <f t="shared" si="5"/>
        <v>31</v>
      </c>
      <c r="M96">
        <f t="shared" si="5"/>
        <v>32</v>
      </c>
      <c r="N96">
        <f t="shared" si="5"/>
        <v>12</v>
      </c>
      <c r="O96" t="s">
        <v>18</v>
      </c>
      <c r="P96" s="2"/>
      <c r="Q96" s="515"/>
      <c r="W96" s="781"/>
    </row>
    <row r="97" spans="1:23" x14ac:dyDescent="0.15">
      <c r="B97" s="1" t="s">
        <v>403</v>
      </c>
      <c r="C97" s="4">
        <f>+C96/10</f>
        <v>2.2999999999999998</v>
      </c>
      <c r="D97" s="4">
        <f t="shared" ref="D97:N97" si="6">+D96/10</f>
        <v>3.15</v>
      </c>
      <c r="E97" s="4">
        <f t="shared" si="6"/>
        <v>2.2000000000000002</v>
      </c>
      <c r="F97" s="4">
        <f t="shared" si="6"/>
        <v>2.9</v>
      </c>
      <c r="G97" s="4">
        <f t="shared" si="6"/>
        <v>1.6</v>
      </c>
      <c r="H97" s="4">
        <f t="shared" si="6"/>
        <v>2.1</v>
      </c>
      <c r="I97" s="4">
        <f t="shared" si="6"/>
        <v>3</v>
      </c>
      <c r="J97" s="4">
        <f t="shared" si="6"/>
        <v>1.9</v>
      </c>
      <c r="K97" s="4">
        <f t="shared" si="6"/>
        <v>1.6</v>
      </c>
      <c r="L97" s="4">
        <f t="shared" si="6"/>
        <v>3.1</v>
      </c>
      <c r="M97" s="4">
        <f t="shared" si="6"/>
        <v>3.2</v>
      </c>
      <c r="N97" s="4">
        <f t="shared" si="6"/>
        <v>1.2</v>
      </c>
      <c r="P97" s="2"/>
      <c r="R97" t="s">
        <v>18</v>
      </c>
      <c r="S97" s="859" t="s">
        <v>18</v>
      </c>
      <c r="W97" s="781"/>
    </row>
    <row r="98" spans="1:23" x14ac:dyDescent="0.15">
      <c r="B98" s="2" t="s">
        <v>18</v>
      </c>
      <c r="P98" t="s">
        <v>18</v>
      </c>
      <c r="S98" s="859" t="s">
        <v>18</v>
      </c>
      <c r="W98" s="781"/>
    </row>
    <row r="99" spans="1:23" ht="16" x14ac:dyDescent="0.2">
      <c r="A99" s="1">
        <v>77</v>
      </c>
      <c r="B99" s="2" t="s">
        <v>68</v>
      </c>
      <c r="C99">
        <f t="shared" ref="C99:N99" si="7">+C45+C81+C96</f>
        <v>162.25</v>
      </c>
      <c r="D99">
        <f t="shared" si="7"/>
        <v>227</v>
      </c>
      <c r="E99">
        <f t="shared" si="7"/>
        <v>200</v>
      </c>
      <c r="F99">
        <f t="shared" si="7"/>
        <v>199</v>
      </c>
      <c r="G99">
        <f t="shared" si="7"/>
        <v>129.25</v>
      </c>
      <c r="H99">
        <f t="shared" si="7"/>
        <v>138.75</v>
      </c>
      <c r="I99">
        <f t="shared" si="7"/>
        <v>205.75</v>
      </c>
      <c r="J99">
        <f t="shared" si="7"/>
        <v>162.75</v>
      </c>
      <c r="K99">
        <f t="shared" si="7"/>
        <v>133.5</v>
      </c>
      <c r="L99">
        <f t="shared" si="7"/>
        <v>212.75</v>
      </c>
      <c r="M99">
        <f t="shared" si="7"/>
        <v>233.25</v>
      </c>
      <c r="N99">
        <f t="shared" si="7"/>
        <v>109.25</v>
      </c>
      <c r="P99" s="2" t="s">
        <v>18</v>
      </c>
      <c r="W99" s="304"/>
    </row>
    <row r="100" spans="1:23" x14ac:dyDescent="0.15">
      <c r="B100" s="2" t="s">
        <v>406</v>
      </c>
      <c r="C100" s="6">
        <f>+C99/77</f>
        <v>2.1071428571428572</v>
      </c>
      <c r="D100" s="6">
        <f t="shared" ref="D100:N100" si="8">+D99/77</f>
        <v>2.948051948051948</v>
      </c>
      <c r="E100" s="6">
        <f t="shared" si="8"/>
        <v>2.5974025974025974</v>
      </c>
      <c r="F100" s="6">
        <f t="shared" si="8"/>
        <v>2.5844155844155843</v>
      </c>
      <c r="G100" s="6">
        <f t="shared" si="8"/>
        <v>1.6785714285714286</v>
      </c>
      <c r="H100" s="6">
        <f t="shared" si="8"/>
        <v>1.801948051948052</v>
      </c>
      <c r="I100" s="6">
        <f t="shared" si="8"/>
        <v>2.6720779220779223</v>
      </c>
      <c r="J100" s="6">
        <f t="shared" si="8"/>
        <v>2.1136363636363638</v>
      </c>
      <c r="K100" s="6">
        <f t="shared" si="8"/>
        <v>1.7337662337662338</v>
      </c>
      <c r="L100" s="6">
        <f t="shared" si="8"/>
        <v>2.7629870129870131</v>
      </c>
      <c r="M100" s="6">
        <f t="shared" si="8"/>
        <v>3.029220779220779</v>
      </c>
      <c r="N100" s="6">
        <f t="shared" si="8"/>
        <v>1.4188311688311688</v>
      </c>
      <c r="P100" s="2" t="s">
        <v>18</v>
      </c>
    </row>
    <row r="101" spans="1:23" x14ac:dyDescent="0.15">
      <c r="B101" s="2" t="s">
        <v>430</v>
      </c>
      <c r="C101" s="516" t="s">
        <v>404</v>
      </c>
      <c r="D101" s="516" t="s">
        <v>400</v>
      </c>
      <c r="E101" s="516" t="s">
        <v>405</v>
      </c>
    </row>
    <row r="102" spans="1:23" ht="14" thickBot="1" x14ac:dyDescent="0.2">
      <c r="B102" s="2" t="s">
        <v>431</v>
      </c>
      <c r="C102">
        <f>+C99+F99+H99+K99</f>
        <v>633.5</v>
      </c>
      <c r="D102">
        <f>+D99+I99+L99+M99</f>
        <v>878.75</v>
      </c>
      <c r="E102">
        <f>+E99+G99+J99+N99</f>
        <v>601.25</v>
      </c>
      <c r="G102" s="2" t="s">
        <v>18</v>
      </c>
      <c r="H102" t="s">
        <v>18</v>
      </c>
      <c r="I102" t="s">
        <v>18</v>
      </c>
      <c r="S102" s="2"/>
    </row>
    <row r="103" spans="1:23" ht="14" thickBot="1" x14ac:dyDescent="0.2">
      <c r="B103" s="42" t="s">
        <v>406</v>
      </c>
      <c r="C103" s="499">
        <f>+C102/77/4</f>
        <v>2.0568181818181817</v>
      </c>
      <c r="D103" s="499">
        <f>+D102/77/4</f>
        <v>2.8530844155844157</v>
      </c>
      <c r="E103" s="500">
        <f>+E102/77/4</f>
        <v>1.9521103896103895</v>
      </c>
      <c r="H103" s="2" t="s">
        <v>18</v>
      </c>
    </row>
    <row r="104" spans="1:23" x14ac:dyDescent="0.15">
      <c r="A104" s="494"/>
      <c r="B104" s="495"/>
      <c r="C104" s="494"/>
      <c r="D104" s="494"/>
      <c r="E104" s="494"/>
      <c r="F104" s="494"/>
      <c r="G104" s="494"/>
      <c r="H104" s="494"/>
      <c r="I104" s="494"/>
      <c r="J104" s="494"/>
      <c r="K104" s="494"/>
      <c r="L104" s="494"/>
      <c r="M104" s="494"/>
      <c r="N104" s="494"/>
    </row>
    <row r="105" spans="1:23" x14ac:dyDescent="0.15">
      <c r="A105" s="1" t="s">
        <v>18</v>
      </c>
      <c r="B105" s="2" t="s">
        <v>18</v>
      </c>
      <c r="E105" s="2"/>
      <c r="G105" s="2"/>
    </row>
    <row r="106" spans="1:23" ht="14" thickBot="1" x14ac:dyDescent="0.2">
      <c r="A106" s="498" t="s">
        <v>407</v>
      </c>
      <c r="B106" s="490"/>
      <c r="C106" s="498" t="s">
        <v>429</v>
      </c>
      <c r="E106" s="2"/>
      <c r="G106" s="2"/>
    </row>
    <row r="107" spans="1:23" x14ac:dyDescent="0.15">
      <c r="A107" s="48" t="s">
        <v>398</v>
      </c>
      <c r="B107" s="32" t="s">
        <v>624</v>
      </c>
      <c r="C107" s="32" t="s">
        <v>409</v>
      </c>
      <c r="D107" s="32" t="s">
        <v>408</v>
      </c>
      <c r="E107" s="32" t="s">
        <v>410</v>
      </c>
      <c r="F107" s="32" t="s">
        <v>409</v>
      </c>
      <c r="G107" s="32" t="s">
        <v>408</v>
      </c>
      <c r="H107" s="32" t="s">
        <v>410</v>
      </c>
      <c r="I107" s="32" t="s">
        <v>409</v>
      </c>
      <c r="J107" s="32" t="s">
        <v>408</v>
      </c>
      <c r="K107" s="32" t="s">
        <v>410</v>
      </c>
      <c r="L107" s="32" t="s">
        <v>409</v>
      </c>
      <c r="M107" s="32" t="s">
        <v>408</v>
      </c>
      <c r="N107" s="151" t="s">
        <v>410</v>
      </c>
      <c r="R107" s="859" t="s">
        <v>1035</v>
      </c>
    </row>
    <row r="108" spans="1:23" ht="14" thickBot="1" x14ac:dyDescent="0.2">
      <c r="A108" s="493" t="s">
        <v>28</v>
      </c>
      <c r="B108" s="34"/>
      <c r="C108" s="33">
        <v>1</v>
      </c>
      <c r="D108" s="33">
        <v>2</v>
      </c>
      <c r="E108" s="33">
        <v>3</v>
      </c>
      <c r="F108" s="33">
        <v>4</v>
      </c>
      <c r="G108" s="33">
        <v>5</v>
      </c>
      <c r="H108" s="33">
        <v>6</v>
      </c>
      <c r="I108" s="33">
        <v>7</v>
      </c>
      <c r="J108" s="33">
        <v>8</v>
      </c>
      <c r="K108" s="33">
        <v>9</v>
      </c>
      <c r="L108" s="33">
        <v>10</v>
      </c>
      <c r="M108" s="33">
        <v>11</v>
      </c>
      <c r="N108" s="152">
        <v>12</v>
      </c>
    </row>
    <row r="109" spans="1:23" x14ac:dyDescent="0.15">
      <c r="A109">
        <v>1</v>
      </c>
      <c r="B109" s="2" t="s">
        <v>408</v>
      </c>
      <c r="C109">
        <v>1</v>
      </c>
      <c r="D109">
        <v>3</v>
      </c>
      <c r="E109">
        <v>2</v>
      </c>
      <c r="F109">
        <v>2</v>
      </c>
      <c r="G109">
        <v>4</v>
      </c>
      <c r="H109">
        <v>0</v>
      </c>
      <c r="I109">
        <v>0</v>
      </c>
      <c r="J109">
        <v>4</v>
      </c>
      <c r="K109">
        <v>4</v>
      </c>
      <c r="L109">
        <v>2</v>
      </c>
      <c r="M109">
        <v>3</v>
      </c>
      <c r="N109">
        <v>3</v>
      </c>
      <c r="U109" s="1" t="s">
        <v>1031</v>
      </c>
      <c r="V109" s="1" t="s">
        <v>1032</v>
      </c>
      <c r="W109" s="1" t="s">
        <v>1033</v>
      </c>
    </row>
    <row r="110" spans="1:23" x14ac:dyDescent="0.15">
      <c r="A110">
        <v>2</v>
      </c>
      <c r="B110" s="2" t="s">
        <v>408</v>
      </c>
      <c r="C110">
        <v>2.75</v>
      </c>
      <c r="D110">
        <v>3</v>
      </c>
      <c r="E110">
        <v>2</v>
      </c>
      <c r="F110">
        <v>2.75</v>
      </c>
      <c r="G110">
        <v>3</v>
      </c>
      <c r="H110">
        <v>2</v>
      </c>
      <c r="I110">
        <v>2.75</v>
      </c>
      <c r="J110">
        <v>3</v>
      </c>
      <c r="K110">
        <v>2.75</v>
      </c>
      <c r="L110">
        <v>2.75</v>
      </c>
      <c r="M110">
        <v>3</v>
      </c>
      <c r="N110">
        <v>2.75</v>
      </c>
      <c r="P110" s="2" t="s">
        <v>18</v>
      </c>
      <c r="S110" s="859" t="s">
        <v>1036</v>
      </c>
      <c r="T110" s="859" t="s">
        <v>410</v>
      </c>
      <c r="U110" s="1046">
        <f>+E126+H126+K126+N126</f>
        <v>97</v>
      </c>
      <c r="V110" s="1046">
        <f>+E146+H146+K146+N146</f>
        <v>99.5</v>
      </c>
      <c r="W110" s="1046">
        <f>+E159+H159+K159+N159</f>
        <v>41.25</v>
      </c>
    </row>
    <row r="111" spans="1:23" x14ac:dyDescent="0.15">
      <c r="A111">
        <v>3</v>
      </c>
      <c r="B111" s="2" t="s">
        <v>408</v>
      </c>
      <c r="C111">
        <v>2.25</v>
      </c>
      <c r="D111">
        <v>2</v>
      </c>
      <c r="E111">
        <v>2</v>
      </c>
      <c r="F111">
        <v>2</v>
      </c>
      <c r="G111">
        <v>2</v>
      </c>
      <c r="H111">
        <v>1.75</v>
      </c>
      <c r="I111">
        <v>1.75</v>
      </c>
      <c r="J111">
        <v>2.75</v>
      </c>
      <c r="K111">
        <v>2.75</v>
      </c>
      <c r="L111">
        <v>2</v>
      </c>
      <c r="M111">
        <v>2.75</v>
      </c>
      <c r="N111">
        <v>2</v>
      </c>
      <c r="P111" s="2" t="s">
        <v>18</v>
      </c>
      <c r="V111" s="1046">
        <f>+V110/68</f>
        <v>1.463235294117647</v>
      </c>
      <c r="W111" s="1046">
        <f>+W110/68</f>
        <v>0.60661764705882348</v>
      </c>
    </row>
    <row r="112" spans="1:23" x14ac:dyDescent="0.15">
      <c r="A112">
        <v>4</v>
      </c>
      <c r="B112" s="2" t="s">
        <v>408</v>
      </c>
      <c r="C112">
        <v>4</v>
      </c>
      <c r="D112">
        <v>3</v>
      </c>
      <c r="E112">
        <v>2</v>
      </c>
      <c r="F112">
        <v>3</v>
      </c>
      <c r="G112">
        <v>2</v>
      </c>
      <c r="H112">
        <v>3</v>
      </c>
      <c r="I112">
        <v>4</v>
      </c>
      <c r="J112">
        <v>1</v>
      </c>
      <c r="K112">
        <v>3</v>
      </c>
      <c r="L112">
        <v>4</v>
      </c>
      <c r="M112">
        <v>1</v>
      </c>
      <c r="N112">
        <v>1</v>
      </c>
      <c r="S112" s="859" t="s">
        <v>1034</v>
      </c>
      <c r="T112" s="859" t="s">
        <v>409</v>
      </c>
      <c r="U112" s="1046">
        <f>+C126+F126+I126+L126</f>
        <v>155.5</v>
      </c>
      <c r="V112" s="1046">
        <f>+E126+H126+K126+L126</f>
        <v>116</v>
      </c>
      <c r="W112" s="1046">
        <v>177.5</v>
      </c>
    </row>
    <row r="113" spans="1:23" x14ac:dyDescent="0.15">
      <c r="A113">
        <v>5</v>
      </c>
      <c r="B113" s="2" t="s">
        <v>408</v>
      </c>
      <c r="C113">
        <v>3</v>
      </c>
      <c r="D113">
        <v>2</v>
      </c>
      <c r="E113">
        <v>1</v>
      </c>
      <c r="F113">
        <v>3</v>
      </c>
      <c r="G113">
        <v>3</v>
      </c>
      <c r="H113">
        <v>1</v>
      </c>
      <c r="I113">
        <v>3</v>
      </c>
      <c r="J113">
        <v>2</v>
      </c>
      <c r="K113">
        <v>2</v>
      </c>
      <c r="L113">
        <v>3</v>
      </c>
      <c r="M113">
        <v>2</v>
      </c>
      <c r="N113">
        <v>2</v>
      </c>
      <c r="V113" s="1046">
        <f>+V112/68</f>
        <v>1.7058823529411764</v>
      </c>
      <c r="W113" s="1046">
        <f>+W112/68</f>
        <v>2.6102941176470589</v>
      </c>
    </row>
    <row r="114" spans="1:23" ht="16" x14ac:dyDescent="0.2">
      <c r="A114">
        <v>6</v>
      </c>
      <c r="B114" s="2" t="s">
        <v>408</v>
      </c>
      <c r="C114">
        <v>3</v>
      </c>
      <c r="D114">
        <v>3</v>
      </c>
      <c r="E114">
        <v>0</v>
      </c>
      <c r="F114">
        <v>2</v>
      </c>
      <c r="G114">
        <v>1</v>
      </c>
      <c r="H114">
        <v>0</v>
      </c>
      <c r="I114">
        <v>1</v>
      </c>
      <c r="J114">
        <v>2</v>
      </c>
      <c r="K114">
        <v>1</v>
      </c>
      <c r="L114">
        <v>3</v>
      </c>
      <c r="M114">
        <v>3</v>
      </c>
      <c r="N114">
        <v>0</v>
      </c>
      <c r="O114" s="2" t="s">
        <v>18</v>
      </c>
      <c r="Q114" s="304"/>
      <c r="S114" s="859" t="s">
        <v>1035</v>
      </c>
      <c r="T114" s="859" t="s">
        <v>408</v>
      </c>
      <c r="U114">
        <f>+D126+G126+J126+M126</f>
        <v>177.5</v>
      </c>
      <c r="V114" s="1046">
        <f>+E126+H126+K126+L126</f>
        <v>116</v>
      </c>
      <c r="W114">
        <v>155.5</v>
      </c>
    </row>
    <row r="115" spans="1:23" ht="16" x14ac:dyDescent="0.2">
      <c r="A115">
        <v>7</v>
      </c>
      <c r="B115" s="2" t="s">
        <v>408</v>
      </c>
      <c r="C115" s="2">
        <v>2</v>
      </c>
      <c r="D115" s="2">
        <v>3</v>
      </c>
      <c r="E115" s="2">
        <v>1</v>
      </c>
      <c r="F115" s="2">
        <v>1</v>
      </c>
      <c r="G115" s="2">
        <v>2</v>
      </c>
      <c r="H115" s="2">
        <v>0</v>
      </c>
      <c r="I115" s="2">
        <v>1</v>
      </c>
      <c r="J115" s="2">
        <v>3</v>
      </c>
      <c r="K115" s="2">
        <v>1</v>
      </c>
      <c r="L115" s="2">
        <v>1</v>
      </c>
      <c r="M115" s="2">
        <v>3</v>
      </c>
      <c r="N115" s="2">
        <v>0</v>
      </c>
      <c r="Q115" s="304"/>
      <c r="T115" s="859" t="s">
        <v>18</v>
      </c>
      <c r="U115" s="1046"/>
      <c r="V115" s="1046">
        <f>+V114/68</f>
        <v>1.7058823529411764</v>
      </c>
      <c r="W115" s="1046">
        <f>+W114/68</f>
        <v>2.2867647058823528</v>
      </c>
    </row>
    <row r="116" spans="1:23" ht="16" x14ac:dyDescent="0.2">
      <c r="A116">
        <v>8</v>
      </c>
      <c r="B116" s="2" t="s">
        <v>408</v>
      </c>
      <c r="C116" s="2">
        <v>3</v>
      </c>
      <c r="D116" s="2">
        <v>3</v>
      </c>
      <c r="E116" s="2">
        <v>1</v>
      </c>
      <c r="F116" s="2">
        <v>2</v>
      </c>
      <c r="G116" s="2">
        <v>3</v>
      </c>
      <c r="H116" s="2">
        <v>1</v>
      </c>
      <c r="I116" s="2">
        <v>2</v>
      </c>
      <c r="J116" s="2">
        <v>3</v>
      </c>
      <c r="K116" s="2">
        <v>2</v>
      </c>
      <c r="L116" s="2">
        <v>2</v>
      </c>
      <c r="M116" s="2">
        <v>3</v>
      </c>
      <c r="N116" s="2">
        <v>1</v>
      </c>
      <c r="Q116" s="304"/>
      <c r="U116" s="859" t="s">
        <v>18</v>
      </c>
    </row>
    <row r="117" spans="1:23" ht="16" x14ac:dyDescent="0.2">
      <c r="A117">
        <v>9</v>
      </c>
      <c r="B117" s="2" t="s">
        <v>408</v>
      </c>
      <c r="C117" s="2">
        <v>2</v>
      </c>
      <c r="D117" s="2">
        <v>1</v>
      </c>
      <c r="E117" s="2">
        <v>3</v>
      </c>
      <c r="F117" s="2">
        <v>2</v>
      </c>
      <c r="G117" s="2">
        <v>1</v>
      </c>
      <c r="H117" s="2">
        <v>3</v>
      </c>
      <c r="I117" s="2">
        <v>2</v>
      </c>
      <c r="J117" s="2">
        <v>2</v>
      </c>
      <c r="K117" s="2">
        <v>3</v>
      </c>
      <c r="L117" s="2">
        <v>2</v>
      </c>
      <c r="M117" s="2">
        <v>1</v>
      </c>
      <c r="N117" s="2">
        <v>2</v>
      </c>
      <c r="Q117" s="304"/>
      <c r="U117" s="859"/>
    </row>
    <row r="118" spans="1:23" ht="16" x14ac:dyDescent="0.2">
      <c r="A118">
        <v>10</v>
      </c>
      <c r="B118" s="2" t="s">
        <v>408</v>
      </c>
      <c r="C118" s="2">
        <v>3</v>
      </c>
      <c r="D118" s="2">
        <v>3</v>
      </c>
      <c r="E118" s="2">
        <v>1</v>
      </c>
      <c r="F118" s="2">
        <v>3</v>
      </c>
      <c r="G118" s="2">
        <v>3</v>
      </c>
      <c r="H118" s="2">
        <v>1</v>
      </c>
      <c r="I118" s="2">
        <v>1</v>
      </c>
      <c r="J118" s="2">
        <v>3</v>
      </c>
      <c r="K118" s="2">
        <v>2</v>
      </c>
      <c r="L118" s="2">
        <v>3</v>
      </c>
      <c r="M118" s="2">
        <v>3</v>
      </c>
      <c r="N118" s="2">
        <v>1</v>
      </c>
      <c r="Q118" s="304"/>
      <c r="U118" s="859"/>
    </row>
    <row r="119" spans="1:23" ht="16" x14ac:dyDescent="0.2">
      <c r="A119">
        <v>11</v>
      </c>
      <c r="B119" s="2" t="s">
        <v>408</v>
      </c>
      <c r="C119" s="2">
        <v>2</v>
      </c>
      <c r="D119" s="2">
        <v>2</v>
      </c>
      <c r="E119" s="2">
        <v>1</v>
      </c>
      <c r="F119" s="2">
        <v>0</v>
      </c>
      <c r="G119" s="2">
        <v>1</v>
      </c>
      <c r="H119" s="2">
        <v>1</v>
      </c>
      <c r="I119" s="2">
        <v>1</v>
      </c>
      <c r="J119" s="2">
        <v>2</v>
      </c>
      <c r="K119" s="2">
        <v>1</v>
      </c>
      <c r="L119" s="2">
        <v>2</v>
      </c>
      <c r="M119" s="2">
        <v>2</v>
      </c>
      <c r="N119" s="2">
        <v>1</v>
      </c>
      <c r="O119" t="s">
        <v>18</v>
      </c>
      <c r="Q119" s="304"/>
      <c r="S119" s="859" t="s">
        <v>18</v>
      </c>
      <c r="V119" s="859" t="s">
        <v>18</v>
      </c>
    </row>
    <row r="120" spans="1:23" ht="16" x14ac:dyDescent="0.2">
      <c r="A120">
        <v>12</v>
      </c>
      <c r="B120" s="2" t="s">
        <v>408</v>
      </c>
      <c r="C120" s="2">
        <v>3</v>
      </c>
      <c r="D120" s="2">
        <v>4</v>
      </c>
      <c r="E120" s="2">
        <v>1</v>
      </c>
      <c r="F120" s="2">
        <v>2</v>
      </c>
      <c r="G120" s="2">
        <v>4</v>
      </c>
      <c r="H120" s="2">
        <v>1</v>
      </c>
      <c r="I120" s="2">
        <v>3</v>
      </c>
      <c r="J120" s="2">
        <v>3</v>
      </c>
      <c r="K120" s="2">
        <v>1</v>
      </c>
      <c r="L120" s="2">
        <v>3</v>
      </c>
      <c r="M120" s="2">
        <v>2</v>
      </c>
      <c r="N120" s="2">
        <v>1</v>
      </c>
      <c r="P120" s="2" t="s">
        <v>18</v>
      </c>
      <c r="Q120" s="304"/>
    </row>
    <row r="121" spans="1:23" ht="16" x14ac:dyDescent="0.2">
      <c r="A121">
        <v>13</v>
      </c>
      <c r="B121" s="2" t="s">
        <v>408</v>
      </c>
      <c r="C121" s="2">
        <v>3</v>
      </c>
      <c r="D121" s="2">
        <v>3</v>
      </c>
      <c r="E121" s="2">
        <v>1</v>
      </c>
      <c r="F121" s="2">
        <v>0</v>
      </c>
      <c r="G121" s="2">
        <v>2</v>
      </c>
      <c r="H121" s="2">
        <v>1</v>
      </c>
      <c r="I121" s="2">
        <v>1</v>
      </c>
      <c r="J121" s="2">
        <v>2</v>
      </c>
      <c r="K121" s="2">
        <v>1</v>
      </c>
      <c r="L121" s="2">
        <v>1</v>
      </c>
      <c r="M121" s="2">
        <v>3</v>
      </c>
      <c r="N121" s="2">
        <v>2</v>
      </c>
      <c r="Q121" s="304"/>
    </row>
    <row r="122" spans="1:23" ht="16" x14ac:dyDescent="0.2">
      <c r="A122">
        <v>14</v>
      </c>
      <c r="B122" s="2" t="s">
        <v>408</v>
      </c>
      <c r="C122" s="2">
        <v>3</v>
      </c>
      <c r="D122" s="2">
        <v>4</v>
      </c>
      <c r="E122" s="2">
        <v>1</v>
      </c>
      <c r="F122" s="2">
        <v>3</v>
      </c>
      <c r="G122" s="2">
        <v>4</v>
      </c>
      <c r="H122" s="2">
        <v>1</v>
      </c>
      <c r="I122" s="2">
        <v>2</v>
      </c>
      <c r="J122" s="2">
        <v>3</v>
      </c>
      <c r="K122" s="2">
        <v>1</v>
      </c>
      <c r="L122" s="2">
        <v>3</v>
      </c>
      <c r="M122" s="2">
        <v>3</v>
      </c>
      <c r="N122" s="2">
        <v>1</v>
      </c>
      <c r="Q122" s="304"/>
    </row>
    <row r="123" spans="1:23" ht="16" x14ac:dyDescent="0.2">
      <c r="A123">
        <v>15</v>
      </c>
      <c r="B123" s="2" t="s">
        <v>408</v>
      </c>
      <c r="C123" s="2">
        <v>3</v>
      </c>
      <c r="D123" s="2">
        <v>3</v>
      </c>
      <c r="E123" s="2">
        <v>0</v>
      </c>
      <c r="F123" s="2">
        <v>3</v>
      </c>
      <c r="G123" s="2">
        <v>3</v>
      </c>
      <c r="H123" s="2">
        <v>1</v>
      </c>
      <c r="I123" s="2">
        <v>4</v>
      </c>
      <c r="J123" s="2">
        <v>2</v>
      </c>
      <c r="K123" s="2">
        <v>3</v>
      </c>
      <c r="L123" s="2">
        <v>3</v>
      </c>
      <c r="M123" s="2">
        <v>2</v>
      </c>
      <c r="N123" s="2">
        <v>1</v>
      </c>
      <c r="Q123" s="304"/>
      <c r="U123" s="859" t="s">
        <v>18</v>
      </c>
    </row>
    <row r="124" spans="1:23" ht="16" x14ac:dyDescent="0.2">
      <c r="A124">
        <v>16</v>
      </c>
      <c r="B124" s="2" t="s">
        <v>408</v>
      </c>
      <c r="C124" s="2">
        <v>3</v>
      </c>
      <c r="D124" s="2">
        <v>3</v>
      </c>
      <c r="E124" s="2">
        <v>0</v>
      </c>
      <c r="F124" s="2">
        <v>2</v>
      </c>
      <c r="G124" s="2">
        <v>3</v>
      </c>
      <c r="H124" s="2">
        <v>1</v>
      </c>
      <c r="I124" s="2">
        <v>2.5</v>
      </c>
      <c r="J124" s="2">
        <v>3</v>
      </c>
      <c r="K124" s="2">
        <v>2</v>
      </c>
      <c r="L124" s="2">
        <v>2</v>
      </c>
      <c r="M124" s="2">
        <v>2</v>
      </c>
      <c r="N124" s="2">
        <v>0</v>
      </c>
      <c r="Q124" s="304"/>
    </row>
    <row r="125" spans="1:23" ht="16" x14ac:dyDescent="0.2">
      <c r="A125">
        <v>17</v>
      </c>
      <c r="B125" s="2" t="s">
        <v>408</v>
      </c>
      <c r="C125" s="2">
        <v>3</v>
      </c>
      <c r="D125" s="2">
        <v>3</v>
      </c>
      <c r="E125" s="2">
        <v>1</v>
      </c>
      <c r="F125" s="2">
        <v>1</v>
      </c>
      <c r="G125" s="2">
        <v>3</v>
      </c>
      <c r="H125" s="2">
        <v>1</v>
      </c>
      <c r="I125" s="2">
        <v>2</v>
      </c>
      <c r="J125" s="2">
        <v>3</v>
      </c>
      <c r="K125" s="2">
        <v>2</v>
      </c>
      <c r="L125" s="2">
        <v>3</v>
      </c>
      <c r="M125" s="2">
        <v>3</v>
      </c>
      <c r="N125" s="2">
        <v>2</v>
      </c>
      <c r="Q125" s="304"/>
    </row>
    <row r="126" spans="1:23" ht="16" x14ac:dyDescent="0.2">
      <c r="B126" s="2" t="s">
        <v>402</v>
      </c>
      <c r="C126">
        <f>SUM(C109:C125)</f>
        <v>46</v>
      </c>
      <c r="D126">
        <f t="shared" ref="D126:N126" si="9">SUM(D109:D125)</f>
        <v>48</v>
      </c>
      <c r="E126">
        <f t="shared" si="9"/>
        <v>20</v>
      </c>
      <c r="F126">
        <f t="shared" si="9"/>
        <v>33.75</v>
      </c>
      <c r="G126">
        <f t="shared" si="9"/>
        <v>44</v>
      </c>
      <c r="H126">
        <f t="shared" si="9"/>
        <v>19.75</v>
      </c>
      <c r="I126">
        <f t="shared" si="9"/>
        <v>34</v>
      </c>
      <c r="J126">
        <f t="shared" si="9"/>
        <v>43.75</v>
      </c>
      <c r="K126">
        <f t="shared" si="9"/>
        <v>34.5</v>
      </c>
      <c r="L126">
        <f t="shared" si="9"/>
        <v>41.75</v>
      </c>
      <c r="M126">
        <f t="shared" si="9"/>
        <v>41.75</v>
      </c>
      <c r="N126">
        <f t="shared" si="9"/>
        <v>22.75</v>
      </c>
      <c r="Q126" s="304"/>
    </row>
    <row r="127" spans="1:23" x14ac:dyDescent="0.15">
      <c r="B127" s="1" t="s">
        <v>403</v>
      </c>
      <c r="C127" s="4">
        <f>+C126/17</f>
        <v>2.7058823529411766</v>
      </c>
      <c r="D127" s="4">
        <f t="shared" ref="D127:N127" si="10">+D126/17</f>
        <v>2.8235294117647061</v>
      </c>
      <c r="E127" s="4">
        <f t="shared" si="10"/>
        <v>1.1764705882352942</v>
      </c>
      <c r="F127" s="4">
        <f t="shared" si="10"/>
        <v>1.9852941176470589</v>
      </c>
      <c r="G127" s="4">
        <f t="shared" si="10"/>
        <v>2.5882352941176472</v>
      </c>
      <c r="H127" s="4">
        <f t="shared" si="10"/>
        <v>1.161764705882353</v>
      </c>
      <c r="I127" s="4">
        <f t="shared" si="10"/>
        <v>2</v>
      </c>
      <c r="J127" s="4">
        <f t="shared" si="10"/>
        <v>2.5735294117647061</v>
      </c>
      <c r="K127" s="4">
        <f t="shared" si="10"/>
        <v>2.0294117647058822</v>
      </c>
      <c r="L127" s="4">
        <f t="shared" si="10"/>
        <v>2.4558823529411766</v>
      </c>
      <c r="M127" s="4">
        <f t="shared" si="10"/>
        <v>2.4558823529411766</v>
      </c>
      <c r="N127" s="4">
        <f t="shared" si="10"/>
        <v>1.338235294117647</v>
      </c>
    </row>
    <row r="128" spans="1:23" ht="14" thickBot="1" x14ac:dyDescent="0.2">
      <c r="B128" s="1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</row>
    <row r="129" spans="1:24" x14ac:dyDescent="0.15">
      <c r="A129" s="48" t="s">
        <v>398</v>
      </c>
      <c r="B129" s="32" t="s">
        <v>624</v>
      </c>
      <c r="C129" s="32" t="s">
        <v>409</v>
      </c>
      <c r="D129" s="32" t="s">
        <v>408</v>
      </c>
      <c r="E129" s="32" t="s">
        <v>410</v>
      </c>
      <c r="F129" s="32" t="s">
        <v>409</v>
      </c>
      <c r="G129" s="32" t="s">
        <v>408</v>
      </c>
      <c r="H129" s="32" t="s">
        <v>410</v>
      </c>
      <c r="I129" s="32" t="s">
        <v>409</v>
      </c>
      <c r="J129" s="32" t="s">
        <v>408</v>
      </c>
      <c r="K129" s="32" t="s">
        <v>410</v>
      </c>
      <c r="L129" s="32" t="s">
        <v>409</v>
      </c>
      <c r="M129" s="32" t="s">
        <v>408</v>
      </c>
      <c r="N129" s="151" t="s">
        <v>410</v>
      </c>
    </row>
    <row r="130" spans="1:24" ht="14" thickBot="1" x14ac:dyDescent="0.2">
      <c r="A130" s="493" t="s">
        <v>28</v>
      </c>
      <c r="B130" s="34"/>
      <c r="C130" s="33">
        <v>1</v>
      </c>
      <c r="D130" s="33">
        <v>2</v>
      </c>
      <c r="E130" s="33">
        <v>3</v>
      </c>
      <c r="F130" s="33">
        <v>4</v>
      </c>
      <c r="G130" s="33">
        <v>5</v>
      </c>
      <c r="H130" s="33">
        <v>6</v>
      </c>
      <c r="I130" s="33">
        <v>7</v>
      </c>
      <c r="J130" s="33">
        <v>8</v>
      </c>
      <c r="K130" s="33">
        <v>9</v>
      </c>
      <c r="L130" s="33">
        <v>10</v>
      </c>
      <c r="M130" s="33">
        <v>11</v>
      </c>
      <c r="N130" s="152">
        <v>12</v>
      </c>
      <c r="P130" t="s">
        <v>18</v>
      </c>
    </row>
    <row r="131" spans="1:24" x14ac:dyDescent="0.15">
      <c r="A131">
        <v>1</v>
      </c>
      <c r="B131" s="2" t="s">
        <v>409</v>
      </c>
      <c r="C131">
        <v>2</v>
      </c>
      <c r="D131">
        <v>3</v>
      </c>
      <c r="E131">
        <v>4</v>
      </c>
      <c r="F131">
        <v>2</v>
      </c>
      <c r="G131">
        <v>3</v>
      </c>
      <c r="H131">
        <v>4</v>
      </c>
      <c r="I131">
        <v>2</v>
      </c>
      <c r="J131">
        <v>3</v>
      </c>
      <c r="K131">
        <v>4</v>
      </c>
      <c r="L131">
        <v>2</v>
      </c>
      <c r="M131">
        <v>3</v>
      </c>
      <c r="N131">
        <v>4</v>
      </c>
      <c r="Q131" s="2"/>
      <c r="X131" t="s">
        <v>18</v>
      </c>
    </row>
    <row r="132" spans="1:24" x14ac:dyDescent="0.15">
      <c r="A132">
        <v>2</v>
      </c>
      <c r="B132" s="2" t="s">
        <v>409</v>
      </c>
      <c r="C132">
        <v>2</v>
      </c>
      <c r="D132">
        <v>3</v>
      </c>
      <c r="E132">
        <v>0</v>
      </c>
      <c r="F132">
        <v>4</v>
      </c>
      <c r="G132">
        <v>3</v>
      </c>
      <c r="H132">
        <v>0</v>
      </c>
      <c r="I132">
        <v>4</v>
      </c>
      <c r="J132">
        <v>3</v>
      </c>
      <c r="K132">
        <v>0</v>
      </c>
      <c r="L132">
        <v>3</v>
      </c>
      <c r="M132">
        <v>3</v>
      </c>
      <c r="N132">
        <v>0</v>
      </c>
      <c r="Q132" s="2"/>
    </row>
    <row r="133" spans="1:24" x14ac:dyDescent="0.15">
      <c r="A133">
        <v>3</v>
      </c>
      <c r="B133" s="2" t="s">
        <v>409</v>
      </c>
      <c r="C133">
        <v>2</v>
      </c>
      <c r="D133">
        <v>2</v>
      </c>
      <c r="E133">
        <v>3</v>
      </c>
      <c r="F133">
        <v>3.75</v>
      </c>
      <c r="G133">
        <v>0</v>
      </c>
      <c r="H133">
        <v>3</v>
      </c>
      <c r="I133">
        <v>3.25</v>
      </c>
      <c r="J133">
        <v>1</v>
      </c>
      <c r="K133">
        <v>2.25</v>
      </c>
      <c r="L133">
        <v>3</v>
      </c>
      <c r="M133">
        <v>2.25</v>
      </c>
      <c r="N133">
        <v>1</v>
      </c>
      <c r="Q133" s="2"/>
    </row>
    <row r="134" spans="1:24" x14ac:dyDescent="0.15">
      <c r="A134">
        <v>4</v>
      </c>
      <c r="B134" s="2" t="s">
        <v>409</v>
      </c>
      <c r="C134">
        <v>4</v>
      </c>
      <c r="D134">
        <v>3</v>
      </c>
      <c r="E134">
        <v>2</v>
      </c>
      <c r="F134">
        <v>4</v>
      </c>
      <c r="G134">
        <v>4</v>
      </c>
      <c r="H134">
        <v>1</v>
      </c>
      <c r="I134">
        <v>3</v>
      </c>
      <c r="J134">
        <v>3</v>
      </c>
      <c r="K134">
        <v>2</v>
      </c>
      <c r="L134">
        <v>3</v>
      </c>
      <c r="M134">
        <v>3</v>
      </c>
      <c r="N134">
        <v>1</v>
      </c>
      <c r="P134" t="s">
        <v>18</v>
      </c>
      <c r="Q134" s="2"/>
    </row>
    <row r="135" spans="1:24" x14ac:dyDescent="0.15">
      <c r="A135">
        <v>5</v>
      </c>
      <c r="B135" s="2" t="s">
        <v>409</v>
      </c>
      <c r="C135">
        <v>4</v>
      </c>
      <c r="D135">
        <v>3</v>
      </c>
      <c r="E135">
        <v>1</v>
      </c>
      <c r="F135">
        <v>3</v>
      </c>
      <c r="G135">
        <v>3</v>
      </c>
      <c r="H135">
        <v>2</v>
      </c>
      <c r="I135">
        <v>3</v>
      </c>
      <c r="J135">
        <v>3</v>
      </c>
      <c r="K135">
        <v>3</v>
      </c>
      <c r="L135">
        <v>3</v>
      </c>
      <c r="M135">
        <v>3</v>
      </c>
      <c r="N135">
        <v>1</v>
      </c>
      <c r="Q135" s="2"/>
    </row>
    <row r="136" spans="1:24" x14ac:dyDescent="0.15">
      <c r="A136">
        <v>6</v>
      </c>
      <c r="B136" s="2" t="s">
        <v>409</v>
      </c>
      <c r="C136">
        <v>4</v>
      </c>
      <c r="D136">
        <v>2</v>
      </c>
      <c r="E136">
        <v>0</v>
      </c>
      <c r="F136">
        <v>4</v>
      </c>
      <c r="G136">
        <v>4</v>
      </c>
      <c r="H136">
        <v>0</v>
      </c>
      <c r="I136">
        <v>4</v>
      </c>
      <c r="J136">
        <v>3</v>
      </c>
      <c r="K136">
        <v>0</v>
      </c>
      <c r="L136">
        <v>4</v>
      </c>
      <c r="M136">
        <v>1</v>
      </c>
      <c r="N136">
        <v>0</v>
      </c>
      <c r="P136" s="2" t="s">
        <v>18</v>
      </c>
      <c r="Q136" s="2"/>
    </row>
    <row r="137" spans="1:24" x14ac:dyDescent="0.15">
      <c r="A137">
        <v>7</v>
      </c>
      <c r="B137" s="2" t="s">
        <v>409</v>
      </c>
      <c r="C137">
        <v>4</v>
      </c>
      <c r="D137">
        <v>3</v>
      </c>
      <c r="E137">
        <v>3</v>
      </c>
      <c r="F137">
        <v>2</v>
      </c>
      <c r="G137">
        <v>1</v>
      </c>
      <c r="H137">
        <v>2</v>
      </c>
      <c r="I137">
        <v>4</v>
      </c>
      <c r="J137">
        <v>3</v>
      </c>
      <c r="K137">
        <v>2</v>
      </c>
      <c r="L137">
        <v>3</v>
      </c>
      <c r="M137">
        <v>2</v>
      </c>
      <c r="N137">
        <v>2</v>
      </c>
      <c r="P137" s="2" t="s">
        <v>18</v>
      </c>
      <c r="Q137" s="2"/>
    </row>
    <row r="138" spans="1:24" x14ac:dyDescent="0.15">
      <c r="A138">
        <v>8</v>
      </c>
      <c r="B138" s="2" t="s">
        <v>409</v>
      </c>
      <c r="C138">
        <v>2</v>
      </c>
      <c r="D138">
        <v>3</v>
      </c>
      <c r="E138">
        <v>1</v>
      </c>
      <c r="F138">
        <v>2</v>
      </c>
      <c r="G138">
        <v>3</v>
      </c>
      <c r="H138">
        <v>1</v>
      </c>
      <c r="I138">
        <v>3</v>
      </c>
      <c r="J138">
        <v>2</v>
      </c>
      <c r="K138">
        <v>1</v>
      </c>
      <c r="L138">
        <v>2</v>
      </c>
      <c r="M138">
        <v>1</v>
      </c>
      <c r="N138">
        <v>1</v>
      </c>
      <c r="Q138" s="2"/>
    </row>
    <row r="139" spans="1:24" x14ac:dyDescent="0.15">
      <c r="A139">
        <v>9</v>
      </c>
      <c r="B139" s="2" t="s">
        <v>409</v>
      </c>
      <c r="C139">
        <v>3</v>
      </c>
      <c r="D139">
        <v>3</v>
      </c>
      <c r="E139">
        <v>2</v>
      </c>
      <c r="F139">
        <v>2</v>
      </c>
      <c r="G139">
        <v>3</v>
      </c>
      <c r="H139">
        <v>2</v>
      </c>
      <c r="I139">
        <v>3</v>
      </c>
      <c r="J139">
        <v>2</v>
      </c>
      <c r="K139">
        <v>3</v>
      </c>
      <c r="L139">
        <v>2</v>
      </c>
      <c r="M139">
        <v>2</v>
      </c>
      <c r="N139">
        <v>2</v>
      </c>
      <c r="P139" t="s">
        <v>18</v>
      </c>
      <c r="Q139" s="2"/>
    </row>
    <row r="140" spans="1:24" x14ac:dyDescent="0.15">
      <c r="A140">
        <v>10</v>
      </c>
      <c r="B140" s="2" t="s">
        <v>409</v>
      </c>
      <c r="C140">
        <v>4</v>
      </c>
      <c r="D140">
        <v>3.25</v>
      </c>
      <c r="E140">
        <v>2</v>
      </c>
      <c r="F140">
        <v>3.25</v>
      </c>
      <c r="G140">
        <v>2</v>
      </c>
      <c r="H140">
        <v>2</v>
      </c>
      <c r="I140">
        <v>2</v>
      </c>
      <c r="J140">
        <v>3.25</v>
      </c>
      <c r="K140">
        <v>3.25</v>
      </c>
      <c r="L140">
        <v>4</v>
      </c>
      <c r="M140">
        <v>4</v>
      </c>
      <c r="N140">
        <v>2</v>
      </c>
      <c r="P140" t="s">
        <v>18</v>
      </c>
      <c r="Q140" s="2"/>
    </row>
    <row r="141" spans="1:24" x14ac:dyDescent="0.15">
      <c r="A141">
        <v>11</v>
      </c>
      <c r="B141" s="2" t="s">
        <v>409</v>
      </c>
      <c r="C141">
        <v>4</v>
      </c>
      <c r="D141">
        <v>2</v>
      </c>
      <c r="E141">
        <v>4</v>
      </c>
      <c r="F141">
        <v>4</v>
      </c>
      <c r="G141">
        <v>3</v>
      </c>
      <c r="H141">
        <v>4</v>
      </c>
      <c r="I141">
        <v>2</v>
      </c>
      <c r="J141">
        <v>4</v>
      </c>
      <c r="K141">
        <v>3</v>
      </c>
      <c r="L141">
        <v>2</v>
      </c>
      <c r="M141">
        <v>4</v>
      </c>
      <c r="N141">
        <v>4</v>
      </c>
      <c r="Q141" s="2"/>
    </row>
    <row r="142" spans="1:24" x14ac:dyDescent="0.15">
      <c r="A142">
        <v>12</v>
      </c>
      <c r="B142" s="2" t="s">
        <v>409</v>
      </c>
      <c r="C142">
        <v>3</v>
      </c>
      <c r="D142">
        <v>3</v>
      </c>
      <c r="E142">
        <v>2</v>
      </c>
      <c r="F142">
        <v>3</v>
      </c>
      <c r="G142">
        <v>3</v>
      </c>
      <c r="H142">
        <v>3</v>
      </c>
      <c r="I142">
        <v>4</v>
      </c>
      <c r="J142">
        <v>3</v>
      </c>
      <c r="K142">
        <v>2</v>
      </c>
      <c r="L142">
        <v>4</v>
      </c>
      <c r="M142">
        <v>1</v>
      </c>
      <c r="N142">
        <v>1</v>
      </c>
      <c r="Q142" s="2"/>
    </row>
    <row r="143" spans="1:24" x14ac:dyDescent="0.15">
      <c r="A143">
        <v>13</v>
      </c>
      <c r="B143" s="2" t="s">
        <v>409</v>
      </c>
      <c r="C143">
        <v>3</v>
      </c>
      <c r="D143">
        <v>2</v>
      </c>
      <c r="E143">
        <v>0</v>
      </c>
      <c r="F143">
        <v>2</v>
      </c>
      <c r="G143">
        <v>2</v>
      </c>
      <c r="H143">
        <v>0</v>
      </c>
      <c r="I143">
        <v>2</v>
      </c>
      <c r="J143">
        <v>2</v>
      </c>
      <c r="K143">
        <v>1</v>
      </c>
      <c r="L143">
        <v>2</v>
      </c>
      <c r="M143">
        <v>0</v>
      </c>
      <c r="N143">
        <v>0</v>
      </c>
      <c r="Q143" s="515"/>
    </row>
    <row r="144" spans="1:24" x14ac:dyDescent="0.15">
      <c r="A144">
        <v>14</v>
      </c>
      <c r="B144" s="2" t="s">
        <v>409</v>
      </c>
      <c r="C144">
        <v>2</v>
      </c>
      <c r="D144">
        <v>3</v>
      </c>
      <c r="E144">
        <v>0</v>
      </c>
      <c r="F144">
        <v>2</v>
      </c>
      <c r="G144">
        <v>4</v>
      </c>
      <c r="H144">
        <v>1</v>
      </c>
      <c r="I144">
        <v>3</v>
      </c>
      <c r="J144">
        <v>2</v>
      </c>
      <c r="K144">
        <v>1</v>
      </c>
      <c r="L144">
        <v>2</v>
      </c>
      <c r="M144">
        <v>0</v>
      </c>
      <c r="N144">
        <v>1</v>
      </c>
      <c r="Q144" s="515"/>
    </row>
    <row r="145" spans="1:18" ht="16" x14ac:dyDescent="0.2">
      <c r="A145" s="2">
        <v>15</v>
      </c>
      <c r="B145" s="2" t="s">
        <v>409</v>
      </c>
      <c r="C145">
        <v>3</v>
      </c>
      <c r="D145">
        <v>2</v>
      </c>
      <c r="E145">
        <v>2</v>
      </c>
      <c r="F145">
        <v>4</v>
      </c>
      <c r="G145">
        <v>3</v>
      </c>
      <c r="H145">
        <v>1</v>
      </c>
      <c r="I145">
        <v>4</v>
      </c>
      <c r="J145">
        <v>3</v>
      </c>
      <c r="K145">
        <v>0</v>
      </c>
      <c r="L145">
        <v>3</v>
      </c>
      <c r="M145">
        <v>1</v>
      </c>
      <c r="N145">
        <v>0</v>
      </c>
      <c r="Q145" s="304"/>
    </row>
    <row r="146" spans="1:18" x14ac:dyDescent="0.15">
      <c r="B146" s="2" t="s">
        <v>402</v>
      </c>
      <c r="C146">
        <f>SUM(C131:C145)</f>
        <v>46</v>
      </c>
      <c r="D146">
        <f t="shared" ref="D146:N146" si="11">SUM(D131:D145)</f>
        <v>40.25</v>
      </c>
      <c r="E146">
        <f t="shared" si="11"/>
        <v>26</v>
      </c>
      <c r="F146">
        <f t="shared" si="11"/>
        <v>45</v>
      </c>
      <c r="G146">
        <f t="shared" si="11"/>
        <v>41</v>
      </c>
      <c r="H146">
        <f t="shared" si="11"/>
        <v>26</v>
      </c>
      <c r="I146">
        <f t="shared" si="11"/>
        <v>46.25</v>
      </c>
      <c r="J146">
        <f t="shared" si="11"/>
        <v>40.25</v>
      </c>
      <c r="K146">
        <f t="shared" si="11"/>
        <v>27.5</v>
      </c>
      <c r="L146">
        <f t="shared" si="11"/>
        <v>42</v>
      </c>
      <c r="M146">
        <f t="shared" si="11"/>
        <v>30.25</v>
      </c>
      <c r="N146">
        <f t="shared" si="11"/>
        <v>20</v>
      </c>
    </row>
    <row r="147" spans="1:18" x14ac:dyDescent="0.15">
      <c r="B147" s="4" t="s">
        <v>403</v>
      </c>
      <c r="C147" s="4">
        <f>+C146/15</f>
        <v>3.0666666666666669</v>
      </c>
      <c r="D147" s="4">
        <f t="shared" ref="D147:N147" si="12">+D146/15</f>
        <v>2.6833333333333331</v>
      </c>
      <c r="E147" s="4">
        <f t="shared" si="12"/>
        <v>1.7333333333333334</v>
      </c>
      <c r="F147" s="4">
        <f t="shared" si="12"/>
        <v>3</v>
      </c>
      <c r="G147" s="4">
        <f t="shared" si="12"/>
        <v>2.7333333333333334</v>
      </c>
      <c r="H147" s="4">
        <f t="shared" si="12"/>
        <v>1.7333333333333334</v>
      </c>
      <c r="I147" s="4">
        <f t="shared" si="12"/>
        <v>3.0833333333333335</v>
      </c>
      <c r="J147" s="4">
        <f t="shared" si="12"/>
        <v>2.6833333333333331</v>
      </c>
      <c r="K147" s="4">
        <f t="shared" si="12"/>
        <v>1.8333333333333333</v>
      </c>
      <c r="L147" s="4">
        <f t="shared" si="12"/>
        <v>2.8</v>
      </c>
      <c r="M147" s="4">
        <f t="shared" si="12"/>
        <v>2.0166666666666666</v>
      </c>
      <c r="N147" s="4">
        <f t="shared" si="12"/>
        <v>1.3333333333333333</v>
      </c>
      <c r="P147" s="2" t="s">
        <v>18</v>
      </c>
    </row>
    <row r="148" spans="1:18" ht="14" thickBot="1" x14ac:dyDescent="0.2">
      <c r="B148" s="2"/>
      <c r="Q148" s="62"/>
    </row>
    <row r="149" spans="1:18" x14ac:dyDescent="0.15">
      <c r="A149" s="48" t="s">
        <v>398</v>
      </c>
      <c r="B149" s="32" t="s">
        <v>624</v>
      </c>
      <c r="C149" s="32" t="s">
        <v>409</v>
      </c>
      <c r="D149" s="32" t="s">
        <v>408</v>
      </c>
      <c r="E149" s="32" t="s">
        <v>410</v>
      </c>
      <c r="F149" s="32" t="s">
        <v>409</v>
      </c>
      <c r="G149" s="32" t="s">
        <v>408</v>
      </c>
      <c r="H149" s="32" t="s">
        <v>410</v>
      </c>
      <c r="I149" s="32" t="s">
        <v>409</v>
      </c>
      <c r="J149" s="32" t="s">
        <v>408</v>
      </c>
      <c r="K149" s="32" t="s">
        <v>410</v>
      </c>
      <c r="L149" s="32" t="s">
        <v>409</v>
      </c>
      <c r="M149" s="32" t="s">
        <v>408</v>
      </c>
      <c r="N149" s="151" t="s">
        <v>410</v>
      </c>
      <c r="Q149" s="2"/>
    </row>
    <row r="150" spans="1:18" ht="14" thickBot="1" x14ac:dyDescent="0.2">
      <c r="A150" s="493" t="s">
        <v>28</v>
      </c>
      <c r="B150" s="34"/>
      <c r="C150" s="33">
        <v>1</v>
      </c>
      <c r="D150" s="33">
        <v>2</v>
      </c>
      <c r="E150" s="33">
        <v>3</v>
      </c>
      <c r="F150" s="33">
        <v>4</v>
      </c>
      <c r="G150" s="33">
        <v>5</v>
      </c>
      <c r="H150" s="33">
        <v>6</v>
      </c>
      <c r="I150" s="33">
        <v>7</v>
      </c>
      <c r="J150" s="33">
        <v>8</v>
      </c>
      <c r="K150" s="33">
        <v>9</v>
      </c>
      <c r="L150" s="33">
        <v>10</v>
      </c>
      <c r="M150" s="33">
        <v>11</v>
      </c>
      <c r="N150" s="152">
        <v>12</v>
      </c>
      <c r="Q150" t="s">
        <v>18</v>
      </c>
      <c r="R150" t="s">
        <v>18</v>
      </c>
    </row>
    <row r="151" spans="1:18" x14ac:dyDescent="0.15">
      <c r="A151" s="2">
        <v>1</v>
      </c>
      <c r="B151" s="2" t="s">
        <v>410</v>
      </c>
      <c r="C151">
        <v>3</v>
      </c>
      <c r="D151">
        <v>3</v>
      </c>
      <c r="E151">
        <v>1</v>
      </c>
      <c r="F151">
        <v>2</v>
      </c>
      <c r="G151">
        <v>3</v>
      </c>
      <c r="H151">
        <v>2</v>
      </c>
      <c r="I151">
        <v>3</v>
      </c>
      <c r="J151">
        <v>3</v>
      </c>
      <c r="K151">
        <v>2</v>
      </c>
      <c r="L151">
        <v>3</v>
      </c>
      <c r="M151">
        <v>3</v>
      </c>
      <c r="N151" s="2">
        <v>2</v>
      </c>
      <c r="P151" t="s">
        <v>18</v>
      </c>
    </row>
    <row r="152" spans="1:18" x14ac:dyDescent="0.15">
      <c r="A152">
        <v>2</v>
      </c>
      <c r="B152" s="2" t="s">
        <v>410</v>
      </c>
      <c r="C152">
        <v>3</v>
      </c>
      <c r="D152">
        <v>4</v>
      </c>
      <c r="E152">
        <v>0</v>
      </c>
      <c r="F152">
        <v>3</v>
      </c>
      <c r="G152">
        <v>2</v>
      </c>
      <c r="H152">
        <v>0</v>
      </c>
      <c r="I152">
        <v>4</v>
      </c>
      <c r="J152">
        <v>3</v>
      </c>
      <c r="K152">
        <v>0</v>
      </c>
      <c r="L152">
        <v>3</v>
      </c>
      <c r="M152">
        <v>2</v>
      </c>
      <c r="N152" s="2">
        <v>0</v>
      </c>
      <c r="P152" s="2"/>
    </row>
    <row r="153" spans="1:18" x14ac:dyDescent="0.15">
      <c r="A153">
        <v>3</v>
      </c>
      <c r="B153" s="2" t="s">
        <v>410</v>
      </c>
      <c r="C153">
        <v>3.25</v>
      </c>
      <c r="D153">
        <v>3</v>
      </c>
      <c r="E153">
        <v>2</v>
      </c>
      <c r="F153">
        <v>3.25</v>
      </c>
      <c r="G153">
        <v>2.75</v>
      </c>
      <c r="H153">
        <v>1.75</v>
      </c>
      <c r="I153">
        <v>3.25</v>
      </c>
      <c r="J153">
        <v>3</v>
      </c>
      <c r="K153">
        <v>2</v>
      </c>
      <c r="L153">
        <v>3</v>
      </c>
      <c r="M153">
        <v>3</v>
      </c>
      <c r="N153" s="2">
        <v>2</v>
      </c>
      <c r="R153" t="s">
        <v>18</v>
      </c>
    </row>
    <row r="154" spans="1:18" x14ac:dyDescent="0.15">
      <c r="A154">
        <v>4</v>
      </c>
      <c r="B154" s="2" t="s">
        <v>410</v>
      </c>
      <c r="C154">
        <v>4</v>
      </c>
      <c r="D154">
        <v>3</v>
      </c>
      <c r="E154">
        <v>1</v>
      </c>
      <c r="F154">
        <v>4</v>
      </c>
      <c r="G154">
        <v>3</v>
      </c>
      <c r="H154">
        <v>1</v>
      </c>
      <c r="I154">
        <v>3</v>
      </c>
      <c r="J154">
        <v>3</v>
      </c>
      <c r="K154">
        <v>1</v>
      </c>
      <c r="L154">
        <v>2</v>
      </c>
      <c r="M154">
        <v>2</v>
      </c>
      <c r="N154" s="2">
        <v>1</v>
      </c>
    </row>
    <row r="155" spans="1:18" x14ac:dyDescent="0.15">
      <c r="A155">
        <v>5</v>
      </c>
      <c r="B155" s="2" t="s">
        <v>410</v>
      </c>
      <c r="C155" s="2">
        <v>3</v>
      </c>
      <c r="D155" s="2">
        <v>2</v>
      </c>
      <c r="E155" s="2">
        <v>0.75</v>
      </c>
      <c r="F155" s="2">
        <v>3</v>
      </c>
      <c r="G155" s="2">
        <v>2</v>
      </c>
      <c r="H155" s="2">
        <v>0.75</v>
      </c>
      <c r="I155" s="2">
        <v>3</v>
      </c>
      <c r="J155" s="2">
        <v>2</v>
      </c>
      <c r="K155" s="2">
        <v>1</v>
      </c>
      <c r="L155" s="2">
        <v>3</v>
      </c>
      <c r="M155" s="2">
        <v>3.25</v>
      </c>
      <c r="N155" s="2">
        <v>1</v>
      </c>
    </row>
    <row r="156" spans="1:18" x14ac:dyDescent="0.15">
      <c r="A156">
        <v>6</v>
      </c>
      <c r="B156" s="2" t="s">
        <v>410</v>
      </c>
      <c r="C156" s="2">
        <v>3</v>
      </c>
      <c r="D156" s="2">
        <v>3</v>
      </c>
      <c r="E156" s="2">
        <v>1</v>
      </c>
      <c r="F156" s="2">
        <v>3</v>
      </c>
      <c r="G156" s="2">
        <v>3</v>
      </c>
      <c r="H156" s="2">
        <v>0</v>
      </c>
      <c r="I156" s="2">
        <v>0</v>
      </c>
      <c r="J156" s="2">
        <v>3</v>
      </c>
      <c r="K156" s="2">
        <v>1</v>
      </c>
      <c r="L156" s="2">
        <v>3</v>
      </c>
      <c r="M156" s="2">
        <v>3</v>
      </c>
      <c r="N156" s="2">
        <v>0</v>
      </c>
    </row>
    <row r="157" spans="1:18" x14ac:dyDescent="0.15">
      <c r="A157">
        <v>7</v>
      </c>
      <c r="B157" s="2" t="s">
        <v>410</v>
      </c>
      <c r="C157" s="2">
        <v>3</v>
      </c>
      <c r="D157" s="2">
        <v>2</v>
      </c>
      <c r="E157" s="2">
        <v>2</v>
      </c>
      <c r="F157" s="2">
        <v>3</v>
      </c>
      <c r="G157" s="2">
        <v>2</v>
      </c>
      <c r="H157" s="2">
        <v>1</v>
      </c>
      <c r="I157" s="2">
        <v>2</v>
      </c>
      <c r="J157" s="2">
        <v>2</v>
      </c>
      <c r="K157" s="2">
        <v>2</v>
      </c>
      <c r="L157" s="2">
        <v>1</v>
      </c>
      <c r="M157" s="2">
        <v>1</v>
      </c>
      <c r="N157" s="2">
        <v>2</v>
      </c>
    </row>
    <row r="158" spans="1:18" x14ac:dyDescent="0.15">
      <c r="A158">
        <v>8</v>
      </c>
      <c r="B158" s="2" t="s">
        <v>410</v>
      </c>
      <c r="C158" s="2">
        <v>0</v>
      </c>
      <c r="D158" s="2">
        <v>3</v>
      </c>
      <c r="E158" s="2">
        <v>4</v>
      </c>
      <c r="F158" s="2">
        <v>0.5</v>
      </c>
      <c r="G158" s="2">
        <v>4</v>
      </c>
      <c r="H158" s="2">
        <v>2</v>
      </c>
      <c r="I158" s="2">
        <v>0</v>
      </c>
      <c r="J158" s="2">
        <v>4</v>
      </c>
      <c r="K158" s="2">
        <v>2</v>
      </c>
      <c r="L158" s="2">
        <v>0</v>
      </c>
      <c r="M158" s="2">
        <v>3</v>
      </c>
      <c r="N158" s="2">
        <v>2</v>
      </c>
    </row>
    <row r="159" spans="1:18" x14ac:dyDescent="0.15">
      <c r="B159" s="2" t="s">
        <v>402</v>
      </c>
      <c r="C159">
        <f>+SUM(C151:C158)</f>
        <v>22.25</v>
      </c>
      <c r="D159">
        <f>+SUM(D151:D158)</f>
        <v>23</v>
      </c>
      <c r="E159">
        <f t="shared" ref="E159:N159" si="13">+SUM(E151:E158)</f>
        <v>11.75</v>
      </c>
      <c r="F159">
        <f t="shared" si="13"/>
        <v>21.75</v>
      </c>
      <c r="G159">
        <f t="shared" si="13"/>
        <v>21.75</v>
      </c>
      <c r="H159">
        <f t="shared" si="13"/>
        <v>8.5</v>
      </c>
      <c r="I159">
        <f t="shared" si="13"/>
        <v>18.25</v>
      </c>
      <c r="J159">
        <f t="shared" si="13"/>
        <v>23</v>
      </c>
      <c r="K159">
        <f t="shared" si="13"/>
        <v>11</v>
      </c>
      <c r="L159">
        <f t="shared" si="13"/>
        <v>18</v>
      </c>
      <c r="M159">
        <f t="shared" si="13"/>
        <v>20.25</v>
      </c>
      <c r="N159">
        <f t="shared" si="13"/>
        <v>10</v>
      </c>
    </row>
    <row r="160" spans="1:18" x14ac:dyDescent="0.15">
      <c r="A160" t="s">
        <v>18</v>
      </c>
      <c r="B160" s="1" t="s">
        <v>403</v>
      </c>
      <c r="C160" s="4">
        <f>+C159/8</f>
        <v>2.78125</v>
      </c>
      <c r="D160" s="4">
        <f t="shared" ref="D160:N160" si="14">+D159/8</f>
        <v>2.875</v>
      </c>
      <c r="E160" s="4">
        <f t="shared" si="14"/>
        <v>1.46875</v>
      </c>
      <c r="F160" s="4">
        <f t="shared" si="14"/>
        <v>2.71875</v>
      </c>
      <c r="G160" s="4">
        <f t="shared" si="14"/>
        <v>2.71875</v>
      </c>
      <c r="H160" s="4">
        <f t="shared" si="14"/>
        <v>1.0625</v>
      </c>
      <c r="I160" s="4">
        <f t="shared" si="14"/>
        <v>2.28125</v>
      </c>
      <c r="J160" s="4">
        <f t="shared" si="14"/>
        <v>2.875</v>
      </c>
      <c r="K160" s="4">
        <f t="shared" si="14"/>
        <v>1.375</v>
      </c>
      <c r="L160" s="4">
        <f t="shared" si="14"/>
        <v>2.25</v>
      </c>
      <c r="M160" s="4">
        <f t="shared" si="14"/>
        <v>2.53125</v>
      </c>
      <c r="N160" s="4">
        <f t="shared" si="14"/>
        <v>1.25</v>
      </c>
    </row>
    <row r="161" spans="1:17" x14ac:dyDescent="0.15">
      <c r="C161" t="s">
        <v>313</v>
      </c>
      <c r="D161" s="2" t="s">
        <v>18</v>
      </c>
      <c r="Q161" t="s">
        <v>18</v>
      </c>
    </row>
    <row r="162" spans="1:17" x14ac:dyDescent="0.15">
      <c r="B162" s="2" t="s">
        <v>68</v>
      </c>
      <c r="C162">
        <f t="shared" ref="C162:N162" si="15">+C126+C146+C159</f>
        <v>114.25</v>
      </c>
      <c r="D162">
        <f t="shared" si="15"/>
        <v>111.25</v>
      </c>
      <c r="E162">
        <f t="shared" si="15"/>
        <v>57.75</v>
      </c>
      <c r="F162">
        <f t="shared" si="15"/>
        <v>100.5</v>
      </c>
      <c r="G162">
        <f t="shared" si="15"/>
        <v>106.75</v>
      </c>
      <c r="H162">
        <f t="shared" si="15"/>
        <v>54.25</v>
      </c>
      <c r="I162">
        <f t="shared" si="15"/>
        <v>98.5</v>
      </c>
      <c r="J162">
        <f t="shared" si="15"/>
        <v>107</v>
      </c>
      <c r="K162">
        <f t="shared" si="15"/>
        <v>73</v>
      </c>
      <c r="L162">
        <f t="shared" si="15"/>
        <v>101.75</v>
      </c>
      <c r="M162">
        <f t="shared" si="15"/>
        <v>92.25</v>
      </c>
      <c r="N162">
        <f t="shared" si="15"/>
        <v>52.75</v>
      </c>
    </row>
    <row r="163" spans="1:17" x14ac:dyDescent="0.15">
      <c r="A163" s="1">
        <v>40</v>
      </c>
      <c r="B163" s="2" t="s">
        <v>406</v>
      </c>
      <c r="C163" s="6">
        <f>+C162/40</f>
        <v>2.8562500000000002</v>
      </c>
      <c r="D163" s="6">
        <f t="shared" ref="D163:N163" si="16">+D162/40</f>
        <v>2.78125</v>
      </c>
      <c r="E163" s="6">
        <f t="shared" si="16"/>
        <v>1.4437500000000001</v>
      </c>
      <c r="F163" s="6">
        <f t="shared" si="16"/>
        <v>2.5125000000000002</v>
      </c>
      <c r="G163" s="6">
        <f t="shared" si="16"/>
        <v>2.6687500000000002</v>
      </c>
      <c r="H163" s="6">
        <f t="shared" si="16"/>
        <v>1.35625</v>
      </c>
      <c r="I163" s="6">
        <f t="shared" si="16"/>
        <v>2.4624999999999999</v>
      </c>
      <c r="J163" s="6">
        <f t="shared" si="16"/>
        <v>2.6749999999999998</v>
      </c>
      <c r="K163" s="6">
        <f t="shared" si="16"/>
        <v>1.825</v>
      </c>
      <c r="L163" s="6">
        <f t="shared" si="16"/>
        <v>2.5437500000000002</v>
      </c>
      <c r="M163" s="6">
        <f t="shared" si="16"/>
        <v>2.3062499999999999</v>
      </c>
      <c r="N163" s="6">
        <f t="shared" si="16"/>
        <v>1.3187500000000001</v>
      </c>
    </row>
    <row r="164" spans="1:17" x14ac:dyDescent="0.15">
      <c r="B164" s="2" t="s">
        <v>430</v>
      </c>
      <c r="C164" s="516" t="s">
        <v>409</v>
      </c>
      <c r="D164" s="516" t="s">
        <v>408</v>
      </c>
      <c r="E164" s="516" t="s">
        <v>410</v>
      </c>
      <c r="Q164" t="s">
        <v>18</v>
      </c>
    </row>
    <row r="165" spans="1:17" ht="14" thickBot="1" x14ac:dyDescent="0.2">
      <c r="B165" s="2" t="s">
        <v>431</v>
      </c>
      <c r="C165">
        <f>+C162+F162+I162+L162</f>
        <v>415</v>
      </c>
      <c r="D165">
        <f>+D162+G162+J162+M162</f>
        <v>417.25</v>
      </c>
      <c r="E165">
        <f>+E162+H162+K162+N162</f>
        <v>237.75</v>
      </c>
      <c r="G165" t="s">
        <v>18</v>
      </c>
      <c r="H165" t="s">
        <v>18</v>
      </c>
    </row>
    <row r="166" spans="1:17" ht="14" thickBot="1" x14ac:dyDescent="0.2">
      <c r="B166" s="501" t="s">
        <v>406</v>
      </c>
      <c r="C166" s="499">
        <f>+C165/4/40</f>
        <v>2.59375</v>
      </c>
      <c r="D166" s="499">
        <f>+D165/4/40</f>
        <v>2.6078125000000001</v>
      </c>
      <c r="E166" s="500">
        <f>+E165/4/40</f>
        <v>1.4859374999999999</v>
      </c>
      <c r="L166" t="s">
        <v>18</v>
      </c>
    </row>
    <row r="167" spans="1:17" x14ac:dyDescent="0.15">
      <c r="A167" s="494"/>
      <c r="B167" s="494"/>
      <c r="C167" s="494" t="s">
        <v>18</v>
      </c>
      <c r="D167" s="494"/>
      <c r="E167" s="494" t="s">
        <v>18</v>
      </c>
      <c r="F167" s="494"/>
      <c r="G167" s="495" t="s">
        <v>18</v>
      </c>
      <c r="H167" s="494"/>
      <c r="I167" s="495" t="s">
        <v>18</v>
      </c>
      <c r="J167" s="494"/>
      <c r="K167" s="494"/>
      <c r="L167" s="494"/>
      <c r="M167" s="494"/>
      <c r="N167" s="494"/>
    </row>
    <row r="168" spans="1:17" x14ac:dyDescent="0.15">
      <c r="C168" t="s">
        <v>18</v>
      </c>
      <c r="E168" t="s">
        <v>18</v>
      </c>
      <c r="F168" s="2" t="s">
        <v>18</v>
      </c>
      <c r="M168" s="2" t="s">
        <v>18</v>
      </c>
    </row>
    <row r="169" spans="1:17" x14ac:dyDescent="0.15">
      <c r="C169" t="s">
        <v>18</v>
      </c>
      <c r="E169" t="s">
        <v>18</v>
      </c>
      <c r="G169" s="2" t="s">
        <v>18</v>
      </c>
      <c r="I169" t="s">
        <v>18</v>
      </c>
      <c r="J169" t="s">
        <v>18</v>
      </c>
    </row>
    <row r="170" spans="1:17" x14ac:dyDescent="0.15">
      <c r="D170" s="2" t="s">
        <v>18</v>
      </c>
      <c r="E170" t="s">
        <v>18</v>
      </c>
      <c r="F170" t="s">
        <v>18</v>
      </c>
      <c r="K170" t="s">
        <v>18</v>
      </c>
      <c r="L170" s="2" t="s">
        <v>18</v>
      </c>
    </row>
    <row r="172" spans="1:17" x14ac:dyDescent="0.15">
      <c r="E172" s="2"/>
      <c r="F172" s="2"/>
      <c r="G172" s="2"/>
      <c r="H172" s="2"/>
      <c r="I172" s="2"/>
      <c r="J172" s="2" t="s">
        <v>18</v>
      </c>
      <c r="K172" s="2"/>
      <c r="L172" s="2"/>
      <c r="M172" s="2"/>
      <c r="N172" s="2"/>
    </row>
    <row r="173" spans="1:17" x14ac:dyDescent="0.15">
      <c r="D173" s="2"/>
    </row>
    <row r="174" spans="1:17" ht="16" x14ac:dyDescent="0.2">
      <c r="B174" s="304"/>
      <c r="D174" s="2" t="s">
        <v>18</v>
      </c>
      <c r="E174" t="s">
        <v>18</v>
      </c>
      <c r="F174" s="2" t="s">
        <v>18</v>
      </c>
    </row>
    <row r="175" spans="1:17" ht="16" x14ac:dyDescent="0.2">
      <c r="B175" s="304"/>
    </row>
    <row r="176" spans="1:17" ht="16" x14ac:dyDescent="0.2">
      <c r="B176" s="304"/>
    </row>
    <row r="177" spans="2:2" ht="16" x14ac:dyDescent="0.2">
      <c r="B177" s="304"/>
    </row>
    <row r="178" spans="2:2" ht="16" x14ac:dyDescent="0.2">
      <c r="B178" s="304"/>
    </row>
    <row r="179" spans="2:2" ht="16" x14ac:dyDescent="0.2">
      <c r="B179" s="304"/>
    </row>
    <row r="180" spans="2:2" ht="16" x14ac:dyDescent="0.2">
      <c r="B180" s="304"/>
    </row>
    <row r="181" spans="2:2" ht="16" x14ac:dyDescent="0.2">
      <c r="B181" s="304"/>
    </row>
    <row r="182" spans="2:2" ht="16" x14ac:dyDescent="0.2">
      <c r="B182" s="304"/>
    </row>
    <row r="183" spans="2:2" ht="16" x14ac:dyDescent="0.2">
      <c r="B183" s="304"/>
    </row>
    <row r="184" spans="2:2" ht="16" x14ac:dyDescent="0.2">
      <c r="B184" s="304"/>
    </row>
    <row r="185" spans="2:2" ht="16" x14ac:dyDescent="0.2">
      <c r="B185" s="304"/>
    </row>
  </sheetData>
  <phoneticPr fontId="5" type="noConversion"/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75"/>
  <sheetViews>
    <sheetView topLeftCell="A64" workbookViewId="0">
      <selection activeCell="J66" sqref="J66"/>
    </sheetView>
  </sheetViews>
  <sheetFormatPr baseColWidth="10" defaultColWidth="8.83203125" defaultRowHeight="13" x14ac:dyDescent="0.15"/>
  <cols>
    <col min="1" max="1" width="41.83203125" bestFit="1" customWidth="1"/>
    <col min="2" max="2" width="8.33203125" customWidth="1"/>
    <col min="3" max="3" width="6.5" customWidth="1"/>
    <col min="4" max="4" width="8.5" customWidth="1"/>
    <col min="5" max="5" width="10.1640625" bestFit="1" customWidth="1"/>
    <col min="6" max="6" width="4.6640625" customWidth="1"/>
    <col min="7" max="7" width="8.1640625" customWidth="1"/>
    <col min="8" max="8" width="23.83203125" bestFit="1" customWidth="1"/>
    <col min="10" max="10" width="12.33203125" bestFit="1" customWidth="1"/>
  </cols>
  <sheetData>
    <row r="1" spans="1:12" ht="16" x14ac:dyDescent="0.2">
      <c r="A1" s="528" t="s">
        <v>635</v>
      </c>
      <c r="B1" s="530"/>
      <c r="C1" s="530"/>
      <c r="D1" s="530"/>
      <c r="E1" s="530"/>
      <c r="F1" s="530" t="s">
        <v>634</v>
      </c>
      <c r="G1" s="530"/>
      <c r="H1" s="530" t="s">
        <v>870</v>
      </c>
    </row>
    <row r="2" spans="1:12" x14ac:dyDescent="0.15">
      <c r="A2" s="504"/>
      <c r="B2" s="305" t="s">
        <v>596</v>
      </c>
      <c r="C2" s="15" t="s">
        <v>625</v>
      </c>
      <c r="D2" s="530" t="s">
        <v>627</v>
      </c>
      <c r="E2" s="530" t="s">
        <v>626</v>
      </c>
      <c r="F2" s="530" t="s">
        <v>628</v>
      </c>
      <c r="G2" s="530"/>
      <c r="H2" s="530" t="s">
        <v>871</v>
      </c>
    </row>
    <row r="3" spans="1:12" x14ac:dyDescent="0.15">
      <c r="A3" s="504"/>
      <c r="B3" s="2"/>
      <c r="C3" s="505"/>
      <c r="D3" s="506"/>
      <c r="E3" s="507"/>
      <c r="F3" s="508"/>
      <c r="G3" s="508"/>
      <c r="H3" s="893"/>
    </row>
    <row r="4" spans="1:12" ht="14" thickBot="1" x14ac:dyDescent="0.2">
      <c r="A4" s="1"/>
      <c r="B4" s="2" t="s">
        <v>18</v>
      </c>
    </row>
    <row r="5" spans="1:12" ht="14" thickBot="1" x14ac:dyDescent="0.2">
      <c r="A5" s="232" t="s">
        <v>12</v>
      </c>
      <c r="B5" s="523" t="s">
        <v>130</v>
      </c>
      <c r="C5" s="523" t="s">
        <v>131</v>
      </c>
      <c r="D5" s="563" t="s">
        <v>445</v>
      </c>
      <c r="E5" s="523" t="s">
        <v>132</v>
      </c>
      <c r="F5" s="523" t="s">
        <v>133</v>
      </c>
      <c r="G5" s="523" t="s">
        <v>11</v>
      </c>
      <c r="H5" s="804" t="s">
        <v>532</v>
      </c>
    </row>
    <row r="6" spans="1:12" ht="14" thickBot="1" x14ac:dyDescent="0.2">
      <c r="A6" s="420" t="s">
        <v>685</v>
      </c>
      <c r="B6" s="522"/>
      <c r="C6" s="522"/>
      <c r="D6" s="522"/>
      <c r="E6" s="522"/>
      <c r="F6" s="522"/>
      <c r="G6" s="522"/>
      <c r="H6" s="494"/>
      <c r="J6" s="305" t="s">
        <v>891</v>
      </c>
      <c r="K6" s="305" t="s">
        <v>892</v>
      </c>
    </row>
    <row r="7" spans="1:12" x14ac:dyDescent="0.15">
      <c r="A7" s="80" t="s">
        <v>134</v>
      </c>
      <c r="B7" s="900"/>
      <c r="C7" s="898"/>
      <c r="D7" s="898"/>
      <c r="E7" s="898"/>
      <c r="F7" s="898"/>
      <c r="G7" s="898"/>
      <c r="J7" s="916">
        <v>0.85</v>
      </c>
      <c r="K7" s="17" t="s">
        <v>915</v>
      </c>
    </row>
    <row r="8" spans="1:12" x14ac:dyDescent="0.15">
      <c r="A8" s="80" t="s">
        <v>135</v>
      </c>
      <c r="B8" s="901"/>
      <c r="C8" s="510"/>
      <c r="D8" s="510"/>
      <c r="E8" s="510"/>
      <c r="F8" s="510"/>
      <c r="G8" s="510"/>
      <c r="J8" s="916">
        <v>0.85</v>
      </c>
      <c r="K8" s="17" t="s">
        <v>915</v>
      </c>
    </row>
    <row r="9" spans="1:12" x14ac:dyDescent="0.15">
      <c r="A9" s="91" t="s">
        <v>686</v>
      </c>
      <c r="B9" s="901"/>
      <c r="C9" s="510"/>
      <c r="D9" s="510"/>
      <c r="E9" s="510"/>
      <c r="F9" s="510"/>
      <c r="G9" s="510"/>
      <c r="J9" s="859" t="s">
        <v>893</v>
      </c>
      <c r="K9" s="920" t="s">
        <v>916</v>
      </c>
    </row>
    <row r="10" spans="1:12" x14ac:dyDescent="0.15">
      <c r="A10" s="91" t="s">
        <v>617</v>
      </c>
      <c r="B10" s="901"/>
      <c r="C10" s="510"/>
      <c r="D10" s="510"/>
      <c r="E10" s="510"/>
      <c r="F10" s="510"/>
      <c r="G10" s="510"/>
      <c r="J10" s="859" t="s">
        <v>893</v>
      </c>
      <c r="K10" s="920" t="s">
        <v>917</v>
      </c>
    </row>
    <row r="11" spans="1:12" x14ac:dyDescent="0.15">
      <c r="A11" s="91" t="s">
        <v>687</v>
      </c>
      <c r="B11" s="902"/>
      <c r="C11" s="510"/>
      <c r="D11" s="510"/>
      <c r="E11" s="511"/>
      <c r="F11" s="510"/>
      <c r="G11" s="511"/>
      <c r="J11" s="859" t="s">
        <v>893</v>
      </c>
      <c r="K11" s="920" t="s">
        <v>917</v>
      </c>
    </row>
    <row r="12" spans="1:12" x14ac:dyDescent="0.15">
      <c r="A12" s="80" t="s">
        <v>153</v>
      </c>
      <c r="B12" s="902"/>
      <c r="C12" s="510"/>
      <c r="D12" s="510"/>
      <c r="E12" s="511"/>
      <c r="F12" s="510"/>
      <c r="G12" s="511"/>
      <c r="J12" s="859" t="s">
        <v>893</v>
      </c>
      <c r="K12" s="920" t="s">
        <v>917</v>
      </c>
    </row>
    <row r="13" spans="1:12" x14ac:dyDescent="0.15">
      <c r="A13" s="80" t="s">
        <v>136</v>
      </c>
      <c r="B13" s="901"/>
      <c r="C13" s="510"/>
      <c r="D13" s="510"/>
      <c r="E13" s="510"/>
      <c r="F13" s="510"/>
      <c r="G13" s="510"/>
      <c r="J13" s="859" t="s">
        <v>893</v>
      </c>
      <c r="K13" s="920" t="s">
        <v>917</v>
      </c>
      <c r="L13" s="859" t="s">
        <v>18</v>
      </c>
    </row>
    <row r="14" spans="1:12" x14ac:dyDescent="0.15">
      <c r="A14" s="80" t="s">
        <v>137</v>
      </c>
      <c r="B14" s="901"/>
      <c r="C14" s="510"/>
      <c r="D14" s="510" t="s">
        <v>18</v>
      </c>
      <c r="E14" s="510"/>
      <c r="F14" s="510"/>
      <c r="G14" s="510"/>
      <c r="J14" s="859" t="s">
        <v>893</v>
      </c>
      <c r="K14" s="920" t="s">
        <v>917</v>
      </c>
    </row>
    <row r="15" spans="1:12" x14ac:dyDescent="0.15">
      <c r="A15" s="877" t="s">
        <v>894</v>
      </c>
      <c r="B15" s="901"/>
      <c r="C15" s="510"/>
      <c r="D15" s="510"/>
      <c r="E15" s="510"/>
      <c r="F15" s="510"/>
      <c r="G15" s="510"/>
      <c r="J15" s="859" t="s">
        <v>893</v>
      </c>
      <c r="K15" s="920" t="s">
        <v>917</v>
      </c>
    </row>
    <row r="16" spans="1:12" x14ac:dyDescent="0.15">
      <c r="A16" s="877" t="s">
        <v>895</v>
      </c>
      <c r="B16" s="901"/>
      <c r="C16" s="510"/>
      <c r="D16" s="510"/>
      <c r="E16" s="510"/>
      <c r="F16" s="510"/>
      <c r="G16" s="510"/>
      <c r="J16" s="859" t="s">
        <v>893</v>
      </c>
      <c r="K16" s="920" t="s">
        <v>917</v>
      </c>
    </row>
    <row r="17" spans="1:12" x14ac:dyDescent="0.15">
      <c r="A17" s="80" t="s">
        <v>155</v>
      </c>
      <c r="B17" s="901"/>
      <c r="C17" s="510"/>
      <c r="D17" s="510"/>
      <c r="E17" s="510"/>
      <c r="F17" s="510"/>
      <c r="G17" s="510"/>
      <c r="J17" s="859" t="s">
        <v>872</v>
      </c>
      <c r="K17" s="17" t="s">
        <v>915</v>
      </c>
    </row>
    <row r="18" spans="1:12" x14ac:dyDescent="0.15">
      <c r="A18" s="80" t="s">
        <v>138</v>
      </c>
      <c r="B18" s="901"/>
      <c r="C18" s="510"/>
      <c r="D18" s="510"/>
      <c r="E18" s="510"/>
      <c r="F18" s="510"/>
      <c r="G18" s="510"/>
      <c r="H18" s="859" t="s">
        <v>896</v>
      </c>
      <c r="J18" t="s">
        <v>18</v>
      </c>
      <c r="K18" s="882" t="s">
        <v>18</v>
      </c>
    </row>
    <row r="19" spans="1:12" x14ac:dyDescent="0.15">
      <c r="A19" s="80" t="s">
        <v>49</v>
      </c>
      <c r="B19" s="901"/>
      <c r="C19" s="510"/>
      <c r="D19" s="510"/>
      <c r="E19" s="510"/>
      <c r="F19" s="510"/>
      <c r="G19" s="510"/>
      <c r="J19" s="859" t="s">
        <v>897</v>
      </c>
      <c r="K19" s="17" t="s">
        <v>915</v>
      </c>
    </row>
    <row r="20" spans="1:12" x14ac:dyDescent="0.15">
      <c r="A20" s="80" t="s">
        <v>139</v>
      </c>
      <c r="B20" s="901"/>
      <c r="C20" s="510"/>
      <c r="D20" s="510"/>
      <c r="E20" s="510"/>
      <c r="F20" s="510"/>
      <c r="G20" s="510"/>
      <c r="J20" s="859" t="s">
        <v>897</v>
      </c>
      <c r="K20" s="17" t="s">
        <v>915</v>
      </c>
    </row>
    <row r="21" spans="1:12" x14ac:dyDescent="0.15">
      <c r="A21" s="80" t="s">
        <v>918</v>
      </c>
      <c r="B21" s="901"/>
      <c r="C21" s="510"/>
      <c r="D21" s="510"/>
      <c r="E21" s="510"/>
      <c r="F21" s="510"/>
      <c r="G21" s="510"/>
      <c r="J21" s="859" t="s">
        <v>872</v>
      </c>
      <c r="K21" s="17" t="s">
        <v>915</v>
      </c>
    </row>
    <row r="22" spans="1:12" x14ac:dyDescent="0.15">
      <c r="A22" s="80" t="s">
        <v>140</v>
      </c>
      <c r="B22" s="901"/>
      <c r="C22" s="510"/>
      <c r="D22" s="510"/>
      <c r="E22" s="510"/>
      <c r="F22" s="510"/>
      <c r="G22" s="510"/>
      <c r="H22" s="859" t="s">
        <v>18</v>
      </c>
      <c r="J22" s="859" t="s">
        <v>872</v>
      </c>
      <c r="K22" s="17" t="s">
        <v>915</v>
      </c>
    </row>
    <row r="23" spans="1:12" x14ac:dyDescent="0.15">
      <c r="A23" s="80" t="s">
        <v>141</v>
      </c>
      <c r="B23" s="901"/>
      <c r="C23" s="510"/>
      <c r="D23" s="510"/>
      <c r="E23" s="510"/>
      <c r="F23" s="510"/>
      <c r="G23" s="510"/>
      <c r="H23" s="859" t="s">
        <v>18</v>
      </c>
      <c r="J23" s="859" t="s">
        <v>872</v>
      </c>
      <c r="K23" s="17" t="s">
        <v>915</v>
      </c>
      <c r="L23" s="859" t="s">
        <v>18</v>
      </c>
    </row>
    <row r="24" spans="1:12" x14ac:dyDescent="0.15">
      <c r="A24" s="91" t="s">
        <v>618</v>
      </c>
      <c r="B24" s="901"/>
      <c r="C24" s="510"/>
      <c r="D24" s="510"/>
      <c r="E24" s="510"/>
      <c r="F24" s="510"/>
      <c r="G24" s="510"/>
      <c r="J24" s="859" t="s">
        <v>873</v>
      </c>
      <c r="K24" s="17" t="s">
        <v>915</v>
      </c>
    </row>
    <row r="25" spans="1:12" x14ac:dyDescent="0.15">
      <c r="A25" s="91" t="s">
        <v>615</v>
      </c>
      <c r="B25" s="901"/>
      <c r="C25" s="510"/>
      <c r="D25" s="510"/>
      <c r="E25" s="510"/>
      <c r="F25" s="510"/>
      <c r="G25" s="510"/>
      <c r="J25" s="859" t="s">
        <v>872</v>
      </c>
      <c r="K25" s="17" t="s">
        <v>915</v>
      </c>
    </row>
    <row r="26" spans="1:12" x14ac:dyDescent="0.15">
      <c r="A26" s="91" t="s">
        <v>688</v>
      </c>
      <c r="B26" s="901"/>
      <c r="C26" s="510"/>
      <c r="D26" s="510"/>
      <c r="E26" s="510"/>
      <c r="F26" s="510"/>
      <c r="G26" s="510"/>
      <c r="J26" s="859" t="s">
        <v>872</v>
      </c>
      <c r="K26" s="17" t="s">
        <v>915</v>
      </c>
    </row>
    <row r="27" spans="1:12" x14ac:dyDescent="0.15">
      <c r="A27" s="80" t="s">
        <v>8</v>
      </c>
      <c r="B27" s="901"/>
      <c r="C27" s="510"/>
      <c r="D27" s="510"/>
      <c r="E27" s="510"/>
      <c r="F27" s="510"/>
      <c r="G27" s="510"/>
      <c r="J27" s="859" t="s">
        <v>873</v>
      </c>
      <c r="K27" s="17" t="s">
        <v>915</v>
      </c>
    </row>
    <row r="28" spans="1:12" x14ac:dyDescent="0.15">
      <c r="A28" s="924" t="s">
        <v>874</v>
      </c>
      <c r="B28" s="903"/>
      <c r="C28" s="886"/>
      <c r="D28" s="885"/>
      <c r="E28" s="885"/>
      <c r="F28" s="885"/>
      <c r="G28" s="885"/>
      <c r="J28" s="859" t="s">
        <v>873</v>
      </c>
      <c r="K28" s="17" t="s">
        <v>915</v>
      </c>
    </row>
    <row r="29" spans="1:12" x14ac:dyDescent="0.15">
      <c r="A29" s="924" t="s">
        <v>875</v>
      </c>
      <c r="B29" s="903"/>
      <c r="C29" s="941"/>
      <c r="D29" s="885"/>
      <c r="E29" s="885"/>
      <c r="F29" s="885"/>
      <c r="G29" s="885"/>
      <c r="J29" s="859" t="s">
        <v>873</v>
      </c>
      <c r="K29" s="17" t="s">
        <v>915</v>
      </c>
    </row>
    <row r="30" spans="1:12" x14ac:dyDescent="0.15">
      <c r="A30" s="924" t="s">
        <v>926</v>
      </c>
      <c r="B30" s="903"/>
      <c r="C30" s="886"/>
      <c r="D30" s="885"/>
      <c r="E30" s="885"/>
      <c r="F30" s="885"/>
      <c r="G30" s="885"/>
      <c r="J30" s="859" t="s">
        <v>873</v>
      </c>
      <c r="K30" s="882" t="s">
        <v>915</v>
      </c>
    </row>
    <row r="31" spans="1:12" x14ac:dyDescent="0.15">
      <c r="A31" s="924" t="s">
        <v>927</v>
      </c>
      <c r="B31" s="903"/>
      <c r="C31" s="940"/>
      <c r="D31" s="885"/>
      <c r="E31" s="885"/>
      <c r="F31" s="885"/>
      <c r="G31" s="885"/>
      <c r="J31" s="859" t="s">
        <v>873</v>
      </c>
      <c r="K31" s="882" t="s">
        <v>915</v>
      </c>
    </row>
    <row r="32" spans="1:12" x14ac:dyDescent="0.15">
      <c r="A32" s="91" t="s">
        <v>330</v>
      </c>
      <c r="B32" s="904"/>
      <c r="C32" s="510"/>
      <c r="D32" s="521"/>
      <c r="E32" s="521"/>
      <c r="F32" s="521"/>
      <c r="G32" s="521"/>
      <c r="I32" s="2" t="s">
        <v>18</v>
      </c>
      <c r="J32" s="859" t="s">
        <v>873</v>
      </c>
      <c r="K32" s="882" t="s">
        <v>915</v>
      </c>
    </row>
    <row r="33" spans="1:11" x14ac:dyDescent="0.15">
      <c r="A33" s="80" t="s">
        <v>154</v>
      </c>
      <c r="B33" s="901"/>
      <c r="C33" s="510"/>
      <c r="D33" s="510"/>
      <c r="E33" s="510"/>
      <c r="F33" s="510"/>
      <c r="G33" s="510"/>
      <c r="J33" s="859" t="s">
        <v>877</v>
      </c>
      <c r="K33" s="17"/>
    </row>
    <row r="34" spans="1:11" x14ac:dyDescent="0.15">
      <c r="A34" s="91" t="s">
        <v>616</v>
      </c>
      <c r="B34" s="905"/>
      <c r="C34" s="510"/>
      <c r="D34" s="514"/>
      <c r="E34" s="514"/>
      <c r="F34" s="514"/>
      <c r="G34" s="514"/>
      <c r="J34" s="859" t="s">
        <v>873</v>
      </c>
      <c r="K34" s="17" t="s">
        <v>915</v>
      </c>
    </row>
    <row r="35" spans="1:11" x14ac:dyDescent="0.15">
      <c r="A35" s="80" t="s">
        <v>150</v>
      </c>
      <c r="B35" s="906"/>
      <c r="C35" s="512"/>
      <c r="D35" s="512"/>
      <c r="E35" s="513"/>
      <c r="F35" s="513"/>
      <c r="G35" s="512"/>
      <c r="H35" s="859" t="s">
        <v>877</v>
      </c>
      <c r="I35" t="s">
        <v>18</v>
      </c>
      <c r="K35" s="17"/>
    </row>
    <row r="36" spans="1:11" x14ac:dyDescent="0.15">
      <c r="A36" s="80" t="s">
        <v>143</v>
      </c>
      <c r="B36" s="902"/>
      <c r="C36" s="511"/>
      <c r="D36" s="511"/>
      <c r="E36" s="512"/>
      <c r="F36" s="512"/>
      <c r="G36" s="512"/>
      <c r="H36" s="859" t="s">
        <v>876</v>
      </c>
      <c r="I36" t="s">
        <v>18</v>
      </c>
      <c r="K36" s="17"/>
    </row>
    <row r="37" spans="1:11" x14ac:dyDescent="0.15">
      <c r="A37" s="80" t="s">
        <v>142</v>
      </c>
      <c r="B37" s="906"/>
      <c r="C37" s="512"/>
      <c r="D37" s="512"/>
      <c r="E37" s="513"/>
      <c r="F37" s="513"/>
      <c r="G37" s="512"/>
      <c r="H37" s="859" t="s">
        <v>877</v>
      </c>
      <c r="J37" t="s">
        <v>18</v>
      </c>
      <c r="K37" s="17"/>
    </row>
    <row r="38" spans="1:11" x14ac:dyDescent="0.15">
      <c r="A38" s="91" t="s">
        <v>633</v>
      </c>
      <c r="B38" s="906"/>
      <c r="C38" s="512"/>
      <c r="D38" s="512"/>
      <c r="E38" s="513"/>
      <c r="F38" s="513"/>
      <c r="G38" s="512"/>
      <c r="H38" s="859" t="s">
        <v>877</v>
      </c>
      <c r="K38" s="17" t="s">
        <v>18</v>
      </c>
    </row>
    <row r="39" spans="1:11" x14ac:dyDescent="0.15">
      <c r="A39" s="91" t="s">
        <v>632</v>
      </c>
      <c r="B39" s="906"/>
      <c r="C39" s="512"/>
      <c r="D39" s="512"/>
      <c r="E39" s="513"/>
      <c r="F39" s="513"/>
      <c r="G39" s="512"/>
      <c r="H39" s="859" t="s">
        <v>877</v>
      </c>
      <c r="K39" s="17" t="s">
        <v>18</v>
      </c>
    </row>
    <row r="40" spans="1:11" x14ac:dyDescent="0.15">
      <c r="A40" s="877" t="s">
        <v>878</v>
      </c>
      <c r="B40" s="906"/>
      <c r="C40" s="512"/>
      <c r="D40" s="512"/>
      <c r="E40" s="513"/>
      <c r="F40" s="513"/>
      <c r="G40" s="512"/>
      <c r="H40" s="859"/>
      <c r="J40" s="859" t="s">
        <v>897</v>
      </c>
      <c r="K40" s="17" t="s">
        <v>915</v>
      </c>
    </row>
    <row r="41" spans="1:11" x14ac:dyDescent="0.15">
      <c r="A41" s="877" t="s">
        <v>879</v>
      </c>
      <c r="B41" s="906"/>
      <c r="C41" s="512"/>
      <c r="D41" s="512"/>
      <c r="E41" s="513"/>
      <c r="F41" s="513"/>
      <c r="G41" s="512"/>
      <c r="H41" s="859"/>
      <c r="J41" s="859" t="s">
        <v>897</v>
      </c>
      <c r="K41" s="17" t="s">
        <v>915</v>
      </c>
    </row>
    <row r="42" spans="1:11" x14ac:dyDescent="0.15">
      <c r="A42" s="877" t="s">
        <v>880</v>
      </c>
      <c r="B42" s="906"/>
      <c r="C42" s="512"/>
      <c r="D42" s="512"/>
      <c r="E42" s="513"/>
      <c r="F42" s="513"/>
      <c r="G42" s="512"/>
      <c r="H42" s="859"/>
      <c r="J42" s="859" t="s">
        <v>897</v>
      </c>
      <c r="K42" s="17" t="s">
        <v>915</v>
      </c>
    </row>
    <row r="43" spans="1:11" x14ac:dyDescent="0.15">
      <c r="A43" s="877" t="s">
        <v>881</v>
      </c>
      <c r="B43" s="906"/>
      <c r="C43" s="512"/>
      <c r="D43" s="512"/>
      <c r="E43" s="513"/>
      <c r="F43" s="513"/>
      <c r="G43" s="512"/>
      <c r="H43" s="859"/>
      <c r="J43" s="859" t="s">
        <v>897</v>
      </c>
      <c r="K43" s="17" t="s">
        <v>915</v>
      </c>
    </row>
    <row r="44" spans="1:11" x14ac:dyDescent="0.15">
      <c r="A44" s="877" t="s">
        <v>882</v>
      </c>
      <c r="B44" s="907"/>
      <c r="C44" s="887"/>
      <c r="D44" s="887"/>
      <c r="E44" s="888"/>
      <c r="F44" s="888"/>
      <c r="G44" s="887"/>
      <c r="H44" s="859"/>
      <c r="J44" s="859" t="s">
        <v>897</v>
      </c>
      <c r="K44" s="882" t="s">
        <v>915</v>
      </c>
    </row>
    <row r="45" spans="1:11" x14ac:dyDescent="0.15">
      <c r="A45" s="923" t="s">
        <v>888</v>
      </c>
      <c r="B45" s="908"/>
      <c r="C45" s="895"/>
      <c r="D45" s="895"/>
      <c r="E45" s="896"/>
      <c r="F45" s="896"/>
      <c r="G45" s="895"/>
      <c r="H45" s="859" t="s">
        <v>898</v>
      </c>
      <c r="J45" s="859" t="s">
        <v>889</v>
      </c>
      <c r="K45" s="882" t="s">
        <v>915</v>
      </c>
    </row>
    <row r="46" spans="1:11" x14ac:dyDescent="0.15">
      <c r="A46" s="875" t="s">
        <v>144</v>
      </c>
      <c r="B46" s="909"/>
      <c r="C46" s="889"/>
      <c r="D46" s="890" t="s">
        <v>18</v>
      </c>
      <c r="E46" s="891"/>
      <c r="F46" s="891"/>
      <c r="G46" s="891"/>
      <c r="H46" s="859" t="s">
        <v>883</v>
      </c>
      <c r="K46" s="17"/>
    </row>
    <row r="47" spans="1:11" x14ac:dyDescent="0.15">
      <c r="A47" s="875" t="s">
        <v>145</v>
      </c>
      <c r="B47" s="909" t="s">
        <v>18</v>
      </c>
      <c r="C47" s="889" t="s">
        <v>18</v>
      </c>
      <c r="D47" s="890" t="s">
        <v>18</v>
      </c>
      <c r="E47" s="891"/>
      <c r="F47" s="892"/>
      <c r="G47" s="892"/>
      <c r="H47" s="859" t="s">
        <v>883</v>
      </c>
      <c r="K47" s="17"/>
    </row>
    <row r="48" spans="1:11" x14ac:dyDescent="0.15">
      <c r="A48" s="875" t="s">
        <v>146</v>
      </c>
      <c r="B48" s="909"/>
      <c r="C48" s="889"/>
      <c r="D48" s="889"/>
      <c r="E48" s="891"/>
      <c r="F48" s="891"/>
      <c r="G48" s="890" t="s">
        <v>18</v>
      </c>
      <c r="H48" s="859" t="s">
        <v>883</v>
      </c>
      <c r="K48" s="17"/>
    </row>
    <row r="49" spans="1:12" x14ac:dyDescent="0.15">
      <c r="A49" s="875" t="s">
        <v>147</v>
      </c>
      <c r="B49" s="910"/>
      <c r="C49" s="889"/>
      <c r="D49" s="889"/>
      <c r="E49" s="891"/>
      <c r="F49" s="891"/>
      <c r="G49" s="890" t="s">
        <v>18</v>
      </c>
      <c r="H49" s="859" t="s">
        <v>883</v>
      </c>
      <c r="I49" t="s">
        <v>18</v>
      </c>
      <c r="J49" t="s">
        <v>18</v>
      </c>
      <c r="K49" s="17"/>
    </row>
    <row r="50" spans="1:12" x14ac:dyDescent="0.15">
      <c r="A50" s="91" t="s">
        <v>619</v>
      </c>
      <c r="B50" s="906"/>
      <c r="C50" s="518"/>
      <c r="D50" s="518"/>
      <c r="E50" s="509"/>
      <c r="F50" s="509"/>
      <c r="G50" s="510" t="s">
        <v>18</v>
      </c>
      <c r="J50" s="859" t="s">
        <v>899</v>
      </c>
      <c r="K50" s="17"/>
    </row>
    <row r="51" spans="1:12" x14ac:dyDescent="0.15">
      <c r="A51" s="923" t="s">
        <v>884</v>
      </c>
      <c r="B51" s="911"/>
      <c r="C51" s="876"/>
      <c r="D51" s="876"/>
      <c r="E51" s="878"/>
      <c r="F51" s="878"/>
      <c r="G51" s="876"/>
      <c r="H51" s="859" t="s">
        <v>18</v>
      </c>
      <c r="J51" s="859" t="s">
        <v>28</v>
      </c>
      <c r="K51" s="882" t="s">
        <v>915</v>
      </c>
    </row>
    <row r="52" spans="1:12" x14ac:dyDescent="0.15">
      <c r="A52" s="923" t="s">
        <v>885</v>
      </c>
      <c r="B52" s="911"/>
      <c r="C52" s="876"/>
      <c r="D52" s="876"/>
      <c r="E52" s="878"/>
      <c r="F52" s="878"/>
      <c r="G52" s="876"/>
      <c r="J52" s="859" t="s">
        <v>28</v>
      </c>
      <c r="K52" s="17" t="s">
        <v>915</v>
      </c>
    </row>
    <row r="53" spans="1:12" x14ac:dyDescent="0.15">
      <c r="A53" s="923" t="s">
        <v>886</v>
      </c>
      <c r="B53" s="911"/>
      <c r="C53" s="876"/>
      <c r="D53" s="876"/>
      <c r="E53" s="878"/>
      <c r="F53" s="878"/>
      <c r="G53" s="876"/>
      <c r="H53" s="859" t="s">
        <v>887</v>
      </c>
      <c r="J53" s="859" t="s">
        <v>28</v>
      </c>
      <c r="K53" s="17" t="s">
        <v>915</v>
      </c>
      <c r="L53" s="859" t="s">
        <v>18</v>
      </c>
    </row>
    <row r="54" spans="1:12" x14ac:dyDescent="0.15">
      <c r="A54" s="923" t="s">
        <v>838</v>
      </c>
      <c r="B54" s="911" t="s">
        <v>18</v>
      </c>
      <c r="C54" s="876" t="s">
        <v>18</v>
      </c>
      <c r="D54" s="876" t="s">
        <v>18</v>
      </c>
      <c r="E54" s="878"/>
      <c r="F54" s="878" t="s">
        <v>18</v>
      </c>
      <c r="G54" s="876" t="s">
        <v>18</v>
      </c>
      <c r="H54" s="859" t="s">
        <v>883</v>
      </c>
      <c r="J54" s="859" t="s">
        <v>18</v>
      </c>
      <c r="K54" s="258" t="s">
        <v>18</v>
      </c>
    </row>
    <row r="55" spans="1:12" x14ac:dyDescent="0.15">
      <c r="A55" s="894" t="s">
        <v>148</v>
      </c>
      <c r="B55" s="909"/>
      <c r="C55" s="889"/>
      <c r="D55" s="889"/>
      <c r="E55" s="891"/>
      <c r="F55" s="891"/>
      <c r="G55" s="889"/>
      <c r="H55" s="859" t="s">
        <v>18</v>
      </c>
      <c r="K55" s="17"/>
    </row>
    <row r="56" spans="1:12" x14ac:dyDescent="0.15">
      <c r="A56" s="894" t="s">
        <v>149</v>
      </c>
      <c r="B56" s="909"/>
      <c r="C56" s="889"/>
      <c r="D56" s="890" t="s">
        <v>18</v>
      </c>
      <c r="E56" s="891" t="s">
        <v>18</v>
      </c>
      <c r="F56" s="891"/>
      <c r="G56" s="889"/>
      <c r="I56" t="s">
        <v>18</v>
      </c>
      <c r="K56" s="17"/>
    </row>
    <row r="57" spans="1:12" x14ac:dyDescent="0.15">
      <c r="A57" s="923" t="s">
        <v>151</v>
      </c>
      <c r="B57" s="911"/>
      <c r="C57" s="518"/>
      <c r="D57" s="876"/>
      <c r="E57" s="878"/>
      <c r="F57" s="878"/>
      <c r="G57" s="876"/>
      <c r="H57" s="859" t="s">
        <v>900</v>
      </c>
      <c r="J57" s="859" t="s">
        <v>28</v>
      </c>
      <c r="K57" s="17" t="s">
        <v>915</v>
      </c>
    </row>
    <row r="58" spans="1:12" x14ac:dyDescent="0.15">
      <c r="A58" s="923" t="s">
        <v>901</v>
      </c>
      <c r="B58" s="911"/>
      <c r="C58" s="512"/>
      <c r="D58" s="876"/>
      <c r="E58" s="512"/>
      <c r="F58" s="878"/>
      <c r="G58" s="512"/>
      <c r="H58" s="859" t="s">
        <v>18</v>
      </c>
      <c r="I58" s="2" t="s">
        <v>18</v>
      </c>
      <c r="J58" s="859" t="s">
        <v>28</v>
      </c>
      <c r="K58" s="17" t="s">
        <v>915</v>
      </c>
    </row>
    <row r="59" spans="1:12" x14ac:dyDescent="0.15">
      <c r="A59" s="565" t="s">
        <v>630</v>
      </c>
      <c r="B59" s="906"/>
      <c r="C59" s="512"/>
      <c r="D59" s="512"/>
      <c r="E59" s="512"/>
      <c r="F59" s="512"/>
      <c r="G59" s="519"/>
      <c r="H59" s="859" t="s">
        <v>877</v>
      </c>
      <c r="K59" s="17"/>
    </row>
    <row r="60" spans="1:12" x14ac:dyDescent="0.15">
      <c r="A60" s="565" t="s">
        <v>631</v>
      </c>
      <c r="B60" s="917"/>
      <c r="C60" s="918"/>
      <c r="D60" s="918"/>
      <c r="E60" s="919"/>
      <c r="F60" s="919"/>
      <c r="G60" s="918"/>
      <c r="H60" s="859" t="s">
        <v>877</v>
      </c>
      <c r="I60" t="s">
        <v>18</v>
      </c>
      <c r="K60" s="882" t="s">
        <v>18</v>
      </c>
    </row>
    <row r="61" spans="1:12" x14ac:dyDescent="0.15">
      <c r="A61" s="565" t="s">
        <v>629</v>
      </c>
      <c r="B61" s="909"/>
      <c r="C61" s="889"/>
      <c r="D61" s="889"/>
      <c r="E61" s="891"/>
      <c r="F61" s="891"/>
      <c r="G61" s="889"/>
      <c r="K61" s="17"/>
    </row>
    <row r="62" spans="1:12" x14ac:dyDescent="0.15">
      <c r="A62" s="875" t="s">
        <v>890</v>
      </c>
      <c r="B62" s="906"/>
      <c r="C62" s="512"/>
      <c r="D62" s="512"/>
      <c r="E62" s="513"/>
      <c r="F62" s="513"/>
      <c r="G62" s="512"/>
      <c r="H62" s="859" t="s">
        <v>902</v>
      </c>
      <c r="I62" s="859" t="s">
        <v>18</v>
      </c>
      <c r="K62" s="258" t="s">
        <v>18</v>
      </c>
    </row>
    <row r="63" spans="1:12" x14ac:dyDescent="0.15">
      <c r="A63" s="875" t="s">
        <v>904</v>
      </c>
      <c r="B63" s="906"/>
      <c r="C63" s="512"/>
      <c r="D63" s="512"/>
      <c r="E63" s="513"/>
      <c r="F63" s="513"/>
      <c r="G63" s="512"/>
      <c r="H63" s="859"/>
      <c r="I63" s="859"/>
      <c r="J63" s="859" t="s">
        <v>907</v>
      </c>
      <c r="K63" s="921" t="s">
        <v>919</v>
      </c>
    </row>
    <row r="64" spans="1:12" x14ac:dyDescent="0.15">
      <c r="A64" s="875" t="s">
        <v>905</v>
      </c>
      <c r="B64" s="906"/>
      <c r="C64" s="512"/>
      <c r="D64" s="512"/>
      <c r="E64" s="513"/>
      <c r="F64" s="513"/>
      <c r="G64" s="512"/>
      <c r="H64" s="859"/>
      <c r="I64" s="859"/>
      <c r="J64" s="859" t="s">
        <v>907</v>
      </c>
      <c r="K64" s="921" t="s">
        <v>919</v>
      </c>
    </row>
    <row r="65" spans="1:13" x14ac:dyDescent="0.15">
      <c r="A65" s="875" t="s">
        <v>906</v>
      </c>
      <c r="B65" s="906"/>
      <c r="C65" s="512"/>
      <c r="D65" s="512"/>
      <c r="E65" s="513"/>
      <c r="F65" s="513"/>
      <c r="G65" s="512"/>
      <c r="H65" s="859"/>
      <c r="I65" s="859"/>
      <c r="J65" s="859" t="s">
        <v>907</v>
      </c>
      <c r="K65" s="921" t="s">
        <v>919</v>
      </c>
      <c r="M65" t="s">
        <v>313</v>
      </c>
    </row>
    <row r="66" spans="1:13" x14ac:dyDescent="0.15">
      <c r="A66" s="875" t="s">
        <v>903</v>
      </c>
      <c r="B66" s="906"/>
      <c r="C66" s="512"/>
      <c r="D66" s="512"/>
      <c r="E66" s="513"/>
      <c r="F66" s="513"/>
      <c r="G66" s="512"/>
      <c r="H66" s="859"/>
      <c r="I66" s="859"/>
      <c r="J66" s="859" t="s">
        <v>911</v>
      </c>
      <c r="K66" s="921" t="s">
        <v>919</v>
      </c>
    </row>
    <row r="67" spans="1:13" x14ac:dyDescent="0.15">
      <c r="A67" s="875" t="s">
        <v>910</v>
      </c>
      <c r="B67" s="906"/>
      <c r="C67" s="512"/>
      <c r="D67" s="512"/>
      <c r="E67" s="512"/>
      <c r="F67" s="512"/>
      <c r="G67" s="512"/>
      <c r="J67" s="859" t="s">
        <v>28</v>
      </c>
      <c r="K67" s="17" t="s">
        <v>915</v>
      </c>
    </row>
    <row r="68" spans="1:13" x14ac:dyDescent="0.15">
      <c r="A68" s="923" t="s">
        <v>912</v>
      </c>
      <c r="B68" s="925"/>
      <c r="C68" s="878"/>
      <c r="D68" s="878"/>
      <c r="E68" s="878"/>
      <c r="F68" s="878"/>
      <c r="G68" s="878"/>
      <c r="J68" s="859" t="s">
        <v>28</v>
      </c>
      <c r="K68" s="17" t="s">
        <v>915</v>
      </c>
    </row>
    <row r="69" spans="1:13" x14ac:dyDescent="0.15">
      <c r="A69" s="923" t="s">
        <v>908</v>
      </c>
      <c r="B69" s="925"/>
      <c r="C69" s="878"/>
      <c r="D69" s="878"/>
      <c r="E69" s="878"/>
      <c r="F69" s="878"/>
      <c r="G69" s="878"/>
      <c r="H69" t="s">
        <v>18</v>
      </c>
      <c r="J69" s="859" t="s">
        <v>909</v>
      </c>
      <c r="K69" s="922" t="s">
        <v>919</v>
      </c>
    </row>
    <row r="70" spans="1:13" x14ac:dyDescent="0.15">
      <c r="A70" s="924" t="s">
        <v>152</v>
      </c>
      <c r="B70" s="912"/>
      <c r="C70" s="897"/>
      <c r="D70" s="512"/>
      <c r="E70" s="520"/>
      <c r="F70" s="520"/>
      <c r="G70" s="517" t="s">
        <v>18</v>
      </c>
      <c r="H70" s="859" t="s">
        <v>877</v>
      </c>
      <c r="K70" s="17"/>
    </row>
    <row r="71" spans="1:13" x14ac:dyDescent="0.15">
      <c r="A71" s="923" t="s">
        <v>913</v>
      </c>
      <c r="B71" s="926"/>
      <c r="C71" s="927"/>
      <c r="D71" s="927"/>
      <c r="E71" s="927"/>
      <c r="F71" s="927"/>
      <c r="G71" s="927"/>
      <c r="J71" s="859" t="s">
        <v>28</v>
      </c>
      <c r="K71" s="922" t="s">
        <v>919</v>
      </c>
    </row>
    <row r="72" spans="1:13" x14ac:dyDescent="0.15">
      <c r="A72" s="928" t="s">
        <v>622</v>
      </c>
      <c r="B72" s="913"/>
      <c r="C72" s="517"/>
      <c r="D72" s="517"/>
      <c r="E72" s="517"/>
      <c r="F72" s="517"/>
      <c r="G72" s="517"/>
      <c r="H72" s="859" t="s">
        <v>928</v>
      </c>
      <c r="J72" s="859" t="s">
        <v>914</v>
      </c>
      <c r="K72" s="922" t="s">
        <v>919</v>
      </c>
    </row>
    <row r="73" spans="1:13" x14ac:dyDescent="0.15">
      <c r="A73" s="928" t="s">
        <v>621</v>
      </c>
      <c r="B73" s="913"/>
      <c r="C73" s="517"/>
      <c r="D73" s="517"/>
      <c r="E73" s="517"/>
      <c r="F73" s="517"/>
      <c r="G73" s="517"/>
      <c r="H73" s="859" t="s">
        <v>928</v>
      </c>
      <c r="J73" s="859" t="s">
        <v>914</v>
      </c>
      <c r="K73" s="922" t="s">
        <v>919</v>
      </c>
    </row>
    <row r="74" spans="1:13" x14ac:dyDescent="0.15">
      <c r="A74" s="928" t="s">
        <v>620</v>
      </c>
      <c r="B74" s="913"/>
      <c r="C74" s="517"/>
      <c r="D74" s="517"/>
      <c r="E74" s="517" t="s">
        <v>18</v>
      </c>
      <c r="F74" s="517"/>
      <c r="G74" s="517"/>
      <c r="H74" s="859" t="s">
        <v>928</v>
      </c>
      <c r="J74" s="859" t="s">
        <v>914</v>
      </c>
      <c r="K74" s="922" t="s">
        <v>919</v>
      </c>
    </row>
    <row r="75" spans="1:13" ht="14" thickBot="1" x14ac:dyDescent="0.2">
      <c r="A75" s="923" t="s">
        <v>837</v>
      </c>
      <c r="B75" s="899"/>
      <c r="C75" s="914"/>
      <c r="D75" s="915"/>
      <c r="E75" s="915"/>
      <c r="F75" s="915"/>
      <c r="G75" s="915"/>
      <c r="H75" s="859" t="s">
        <v>877</v>
      </c>
      <c r="K75" s="17"/>
    </row>
  </sheetData>
  <phoneticPr fontId="5" type="noConversion"/>
  <pageMargins left="0.75" right="0.75" top="1" bottom="1" header="0.5" footer="0.5"/>
  <pageSetup orientation="portrait" horizont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I31"/>
  <sheetViews>
    <sheetView topLeftCell="R1" workbookViewId="0">
      <selection activeCell="W32" sqref="W32"/>
    </sheetView>
  </sheetViews>
  <sheetFormatPr baseColWidth="10" defaultColWidth="8.83203125" defaultRowHeight="13" x14ac:dyDescent="0.15"/>
  <cols>
    <col min="1" max="1" width="10" bestFit="1" customWidth="1"/>
  </cols>
  <sheetData>
    <row r="2" spans="1:35" x14ac:dyDescent="0.15">
      <c r="A2" s="860" t="s">
        <v>410</v>
      </c>
      <c r="B2" s="860" t="s">
        <v>409</v>
      </c>
      <c r="C2" s="860" t="s">
        <v>408</v>
      </c>
      <c r="D2" s="861" t="s">
        <v>18</v>
      </c>
      <c r="E2" s="860" t="s">
        <v>405</v>
      </c>
      <c r="F2" s="860" t="s">
        <v>400</v>
      </c>
      <c r="G2" s="860" t="s">
        <v>404</v>
      </c>
    </row>
    <row r="3" spans="1:35" x14ac:dyDescent="0.15">
      <c r="A3" s="823">
        <v>2.5000000000000001E-2</v>
      </c>
      <c r="B3" s="823">
        <v>0.52049999999999996</v>
      </c>
      <c r="C3" s="823">
        <v>0.21279999999999999</v>
      </c>
      <c r="D3" s="867" t="s">
        <v>18</v>
      </c>
      <c r="E3" s="823">
        <v>0.29549999999999998</v>
      </c>
      <c r="F3" s="823">
        <v>0.48820000000000002</v>
      </c>
      <c r="G3" s="823">
        <v>0.14630000000000001</v>
      </c>
    </row>
    <row r="4" spans="1:35" x14ac:dyDescent="0.15">
      <c r="I4" s="859" t="s">
        <v>18</v>
      </c>
    </row>
    <row r="5" spans="1:35" x14ac:dyDescent="0.15">
      <c r="A5" s="859" t="s">
        <v>18</v>
      </c>
      <c r="B5" s="859"/>
      <c r="C5" s="859"/>
      <c r="D5" s="859"/>
      <c r="E5" s="859"/>
      <c r="F5" s="859"/>
      <c r="G5" s="859"/>
      <c r="T5" s="859" t="s">
        <v>18</v>
      </c>
    </row>
    <row r="6" spans="1:35" x14ac:dyDescent="0.15">
      <c r="B6" s="859" t="s">
        <v>18</v>
      </c>
      <c r="D6" s="859" t="s">
        <v>18</v>
      </c>
    </row>
    <row r="7" spans="1:35" x14ac:dyDescent="0.15">
      <c r="B7" s="859"/>
      <c r="D7" s="859"/>
      <c r="U7" s="860" t="s">
        <v>410</v>
      </c>
      <c r="V7" s="860" t="s">
        <v>409</v>
      </c>
      <c r="W7" s="860" t="s">
        <v>408</v>
      </c>
      <c r="X7" s="860" t="s">
        <v>405</v>
      </c>
      <c r="Y7" s="860" t="s">
        <v>400</v>
      </c>
      <c r="Z7" s="860" t="s">
        <v>404</v>
      </c>
    </row>
    <row r="8" spans="1:35" x14ac:dyDescent="0.15">
      <c r="A8" s="869">
        <v>0.1845</v>
      </c>
      <c r="B8" s="868">
        <v>0.21590000000000001</v>
      </c>
      <c r="C8" s="868">
        <v>0.18790000000000001</v>
      </c>
      <c r="D8" s="869" t="s">
        <v>18</v>
      </c>
      <c r="E8" s="868">
        <v>0.1157</v>
      </c>
      <c r="F8" s="868">
        <v>0.2266</v>
      </c>
      <c r="G8" s="868">
        <v>0.223</v>
      </c>
      <c r="J8" s="859" t="s">
        <v>18</v>
      </c>
      <c r="U8" s="874">
        <v>41000</v>
      </c>
      <c r="V8" s="874">
        <v>47000</v>
      </c>
      <c r="W8" s="874">
        <v>15600</v>
      </c>
      <c r="X8" s="874">
        <v>20000</v>
      </c>
      <c r="Y8" s="874">
        <v>15500</v>
      </c>
      <c r="Z8" s="874">
        <v>9700</v>
      </c>
      <c r="AA8" s="865" t="s">
        <v>18</v>
      </c>
      <c r="AC8" s="871">
        <v>0.10256410256410256</v>
      </c>
      <c r="AD8" s="871">
        <v>0.39729999999999999</v>
      </c>
      <c r="AE8" s="871">
        <v>0.2316</v>
      </c>
      <c r="AF8" s="871">
        <v>0.38640000000000002</v>
      </c>
      <c r="AG8" s="871">
        <v>0.79200000000000004</v>
      </c>
      <c r="AH8" s="871">
        <v>0.7742</v>
      </c>
      <c r="AI8" s="859"/>
    </row>
    <row r="9" spans="1:35" x14ac:dyDescent="0.15">
      <c r="A9" s="864">
        <v>234.60000000000002</v>
      </c>
      <c r="B9" s="863">
        <v>435.59999999999997</v>
      </c>
      <c r="C9" s="863">
        <v>75</v>
      </c>
      <c r="D9" s="864" t="s">
        <v>18</v>
      </c>
      <c r="E9" s="863">
        <v>126.6</v>
      </c>
      <c r="F9" s="863">
        <v>470.4</v>
      </c>
      <c r="G9" s="863">
        <v>378</v>
      </c>
      <c r="J9" s="859"/>
      <c r="S9" s="859" t="s">
        <v>18</v>
      </c>
      <c r="U9">
        <v>234.60000000000002</v>
      </c>
      <c r="V9">
        <v>435.59999999999997</v>
      </c>
      <c r="W9">
        <v>75</v>
      </c>
      <c r="X9">
        <v>126.6</v>
      </c>
      <c r="Y9">
        <v>470.4</v>
      </c>
      <c r="Z9">
        <v>378</v>
      </c>
    </row>
    <row r="10" spans="1:35" x14ac:dyDescent="0.15">
      <c r="A10">
        <v>3.91</v>
      </c>
      <c r="B10">
        <v>7.26</v>
      </c>
      <c r="C10">
        <v>1.25</v>
      </c>
      <c r="D10" s="859" t="s">
        <v>18</v>
      </c>
      <c r="E10">
        <v>2.11</v>
      </c>
      <c r="F10">
        <v>7.84</v>
      </c>
      <c r="G10">
        <v>6.3</v>
      </c>
      <c r="X10" s="859" t="s">
        <v>18</v>
      </c>
      <c r="AC10">
        <v>7.4999999999999997E-2</v>
      </c>
      <c r="AD10">
        <v>0.41099999999999998</v>
      </c>
      <c r="AE10">
        <v>0.30299999999999999</v>
      </c>
      <c r="AF10">
        <v>0.31109999999999999</v>
      </c>
      <c r="AG10">
        <v>0.76380000000000003</v>
      </c>
      <c r="AH10">
        <v>0.54400000000000004</v>
      </c>
    </row>
    <row r="11" spans="1:35" x14ac:dyDescent="0.15">
      <c r="A11" s="862">
        <f>+A10*60</f>
        <v>234.60000000000002</v>
      </c>
      <c r="B11" s="862">
        <f t="shared" ref="B11:G11" si="0">+B10*60</f>
        <v>435.59999999999997</v>
      </c>
      <c r="C11" s="862">
        <f t="shared" si="0"/>
        <v>75</v>
      </c>
      <c r="D11" s="870" t="s">
        <v>18</v>
      </c>
      <c r="E11" s="862">
        <f t="shared" si="0"/>
        <v>126.6</v>
      </c>
      <c r="F11" s="862">
        <f t="shared" si="0"/>
        <v>470.4</v>
      </c>
      <c r="G11" s="862">
        <f t="shared" si="0"/>
        <v>378</v>
      </c>
    </row>
    <row r="12" spans="1:35" x14ac:dyDescent="0.15">
      <c r="A12" s="867" t="s">
        <v>18</v>
      </c>
      <c r="B12" s="867" t="s">
        <v>18</v>
      </c>
      <c r="C12" s="867" t="s">
        <v>18</v>
      </c>
      <c r="D12" s="859" t="s">
        <v>18</v>
      </c>
      <c r="E12" s="867" t="s">
        <v>18</v>
      </c>
      <c r="F12" s="867" t="s">
        <v>18</v>
      </c>
      <c r="G12" s="867" t="s">
        <v>18</v>
      </c>
      <c r="AC12" s="871">
        <v>2.5000000000000001E-2</v>
      </c>
      <c r="AD12" s="871">
        <v>0.52049999999999996</v>
      </c>
      <c r="AE12" s="871">
        <v>0.21279999999999999</v>
      </c>
      <c r="AF12" s="871">
        <v>0.29549999999999998</v>
      </c>
      <c r="AG12" s="871">
        <v>0.48820000000000002</v>
      </c>
      <c r="AH12" s="871">
        <v>0.14630000000000001</v>
      </c>
    </row>
    <row r="13" spans="1:35" x14ac:dyDescent="0.15">
      <c r="D13" s="859"/>
      <c r="E13" s="859" t="s">
        <v>18</v>
      </c>
    </row>
    <row r="14" spans="1:35" x14ac:dyDescent="0.15">
      <c r="A14" s="866" t="s">
        <v>18</v>
      </c>
      <c r="B14" s="3"/>
      <c r="C14" s="3"/>
      <c r="D14" s="866"/>
      <c r="E14" s="3"/>
      <c r="F14" s="3"/>
      <c r="G14" s="3"/>
      <c r="AE14" s="859" t="s">
        <v>18</v>
      </c>
    </row>
    <row r="15" spans="1:35" x14ac:dyDescent="0.15">
      <c r="B15" s="859" t="s">
        <v>18</v>
      </c>
      <c r="D15" s="859"/>
    </row>
    <row r="16" spans="1:35" x14ac:dyDescent="0.15">
      <c r="AC16">
        <v>33</v>
      </c>
      <c r="AD16">
        <v>35</v>
      </c>
      <c r="AE16" s="859">
        <v>38</v>
      </c>
      <c r="AG16">
        <v>32</v>
      </c>
      <c r="AH16">
        <v>26</v>
      </c>
      <c r="AI16">
        <v>22</v>
      </c>
    </row>
    <row r="17" spans="1:35" x14ac:dyDescent="0.15">
      <c r="B17" s="859" t="s">
        <v>18</v>
      </c>
      <c r="AC17" s="859" t="s">
        <v>18</v>
      </c>
    </row>
    <row r="18" spans="1:35" x14ac:dyDescent="0.15">
      <c r="A18" s="825"/>
      <c r="B18" s="825"/>
      <c r="C18" s="825"/>
      <c r="D18" s="782"/>
      <c r="E18" s="825"/>
      <c r="F18" s="825"/>
      <c r="G18" s="830"/>
      <c r="AC18" s="865">
        <v>33</v>
      </c>
      <c r="AD18" s="865">
        <v>35</v>
      </c>
      <c r="AE18" s="865">
        <v>38</v>
      </c>
      <c r="AF18" s="865">
        <v>32</v>
      </c>
      <c r="AG18" s="865">
        <v>26</v>
      </c>
      <c r="AH18" s="865">
        <v>22</v>
      </c>
      <c r="AI18" s="865">
        <v>22</v>
      </c>
    </row>
    <row r="19" spans="1:35" x14ac:dyDescent="0.15">
      <c r="A19" s="863"/>
      <c r="B19" s="863"/>
      <c r="C19" s="863"/>
      <c r="D19" s="864"/>
      <c r="E19" s="863"/>
      <c r="F19" s="863"/>
      <c r="G19" s="863"/>
      <c r="AB19" s="859" t="s">
        <v>18</v>
      </c>
    </row>
    <row r="20" spans="1:35" x14ac:dyDescent="0.15">
      <c r="B20" s="859"/>
      <c r="C20" s="859" t="s">
        <v>18</v>
      </c>
      <c r="AC20" s="874">
        <v>41000</v>
      </c>
      <c r="AD20" s="874">
        <v>47000</v>
      </c>
      <c r="AE20" s="874">
        <v>15600</v>
      </c>
      <c r="AF20" s="874">
        <v>20000</v>
      </c>
      <c r="AG20" s="874">
        <v>15500</v>
      </c>
      <c r="AH20" s="874">
        <v>9700</v>
      </c>
      <c r="AI20" s="874" t="s">
        <v>18</v>
      </c>
    </row>
    <row r="21" spans="1:35" x14ac:dyDescent="0.15">
      <c r="A21" s="825"/>
      <c r="B21" s="825"/>
      <c r="C21" s="825"/>
      <c r="D21" s="782"/>
      <c r="E21" s="825"/>
      <c r="F21" s="825"/>
      <c r="G21" s="830"/>
      <c r="AD21" s="859" t="s">
        <v>18</v>
      </c>
    </row>
    <row r="22" spans="1:35" x14ac:dyDescent="0.15">
      <c r="A22" s="863"/>
      <c r="B22" s="863"/>
      <c r="C22" s="863"/>
      <c r="D22" s="864"/>
      <c r="E22" s="863"/>
      <c r="F22" s="863"/>
      <c r="G22" s="863"/>
      <c r="AC22" s="872">
        <v>41000</v>
      </c>
      <c r="AD22" s="872">
        <v>47000</v>
      </c>
      <c r="AE22" s="872">
        <v>15600</v>
      </c>
      <c r="AF22" s="872">
        <v>20000</v>
      </c>
      <c r="AG22" s="872">
        <v>15500</v>
      </c>
      <c r="AH22" s="872">
        <v>9700</v>
      </c>
      <c r="AI22" s="872" t="s">
        <v>18</v>
      </c>
    </row>
    <row r="24" spans="1:35" x14ac:dyDescent="0.15">
      <c r="A24" s="859"/>
      <c r="D24" s="859"/>
    </row>
    <row r="25" spans="1:35" x14ac:dyDescent="0.15">
      <c r="A25" s="3"/>
      <c r="B25" s="3"/>
      <c r="C25" s="3"/>
      <c r="D25" s="866"/>
      <c r="E25" s="3"/>
      <c r="F25" s="3"/>
      <c r="G25" s="3"/>
    </row>
    <row r="27" spans="1:35" x14ac:dyDescent="0.15">
      <c r="D27" s="859" t="s">
        <v>18</v>
      </c>
    </row>
    <row r="28" spans="1:35" x14ac:dyDescent="0.15">
      <c r="AB28" s="859" t="s">
        <v>18</v>
      </c>
    </row>
    <row r="31" spans="1:35" x14ac:dyDescent="0.15">
      <c r="AD31" s="859" t="s">
        <v>18</v>
      </c>
    </row>
  </sheetData>
  <phoneticPr fontId="5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Assessment Metrics</vt:lpstr>
      <vt:lpstr>Summary Calcs</vt:lpstr>
      <vt:lpstr>Space Calcs</vt:lpstr>
      <vt:lpstr>Ped InterA</vt:lpstr>
      <vt:lpstr>Peds &amp; Bikes</vt:lpstr>
      <vt:lpstr>Vehicle Calcs</vt:lpstr>
      <vt:lpstr>Visual Assessment</vt:lpstr>
      <vt:lpstr>Data List</vt:lpstr>
      <vt:lpstr>Charts</vt:lpstr>
      <vt:lpstr>Transit</vt:lpstr>
    </vt:vector>
  </TitlesOfParts>
  <Company>Kott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jkott</dc:creator>
  <cp:lastModifiedBy>Microsoft Office User</cp:lastModifiedBy>
  <cp:lastPrinted>2008-07-11T22:09:29Z</cp:lastPrinted>
  <dcterms:created xsi:type="dcterms:W3CDTF">2008-01-04T19:15:28Z</dcterms:created>
  <dcterms:modified xsi:type="dcterms:W3CDTF">2019-07-30T16:56:38Z</dcterms:modified>
</cp:coreProperties>
</file>